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615" windowHeight="5595" activeTab="4"/>
  </bookViews>
  <sheets>
    <sheet name="Раздел1" sheetId="1" r:id="rId1"/>
    <sheet name="Раздел2" sheetId="9" r:id="rId2"/>
    <sheet name="Раздел4" sheetId="4" r:id="rId3"/>
    <sheet name="Раздел5" sheetId="5" r:id="rId4"/>
    <sheet name="Раздел7" sheetId="6" r:id="rId5"/>
  </sheets>
  <calcPr calcId="125725"/>
</workbook>
</file>

<file path=xl/calcChain.xml><?xml version="1.0" encoding="utf-8"?>
<calcChain xmlns="http://schemas.openxmlformats.org/spreadsheetml/2006/main">
  <c r="I69" i="1"/>
  <c r="F69"/>
  <c r="E69"/>
  <c r="D69"/>
  <c r="G69" s="1"/>
  <c r="H69"/>
  <c r="C8" i="9" l="1"/>
  <c r="I78" i="1"/>
  <c r="H78"/>
  <c r="G78"/>
  <c r="E76"/>
  <c r="H76" s="1"/>
  <c r="C13" i="9" l="1"/>
  <c r="D13" s="1"/>
  <c r="C9"/>
  <c r="D9" s="1"/>
  <c r="I235" i="1" l="1"/>
  <c r="G235"/>
  <c r="H220" l="1"/>
  <c r="G231" l="1"/>
  <c r="I231"/>
  <c r="H231"/>
  <c r="I220"/>
  <c r="G220"/>
  <c r="F85" l="1"/>
  <c r="I85" s="1"/>
  <c r="F84"/>
  <c r="I84" s="1"/>
  <c r="E85"/>
  <c r="H85" s="1"/>
  <c r="D85"/>
  <c r="G85" s="1"/>
  <c r="E84"/>
  <c r="H84" s="1"/>
  <c r="D84"/>
  <c r="G84" s="1"/>
  <c r="F89"/>
  <c r="I89" s="1"/>
  <c r="F88"/>
  <c r="I88" s="1"/>
  <c r="E89"/>
  <c r="H89" s="1"/>
  <c r="E88"/>
  <c r="H88" s="1"/>
  <c r="D89"/>
  <c r="G89" s="1"/>
  <c r="D88"/>
  <c r="G88" s="1"/>
  <c r="I164" l="1"/>
  <c r="H164"/>
  <c r="G164"/>
  <c r="F77"/>
  <c r="I77" s="1"/>
  <c r="F76"/>
  <c r="I76" s="1"/>
  <c r="E77"/>
  <c r="H77" s="1"/>
  <c r="H75" s="1"/>
  <c r="D77"/>
  <c r="G77" s="1"/>
  <c r="D76"/>
  <c r="G76" s="1"/>
  <c r="F81"/>
  <c r="I81" s="1"/>
  <c r="F80"/>
  <c r="I80" s="1"/>
  <c r="E81"/>
  <c r="H81" s="1"/>
  <c r="E80"/>
  <c r="H80" s="1"/>
  <c r="D81"/>
  <c r="G81" s="1"/>
  <c r="D80"/>
  <c r="G80" s="1"/>
  <c r="D8" i="9"/>
  <c r="F247" i="1" l="1"/>
  <c r="F248"/>
  <c r="E248"/>
  <c r="D248"/>
  <c r="E247"/>
  <c r="D247"/>
  <c r="F75" l="1"/>
  <c r="D7" i="9"/>
  <c r="H178" i="1" l="1"/>
  <c r="I185"/>
  <c r="I179"/>
  <c r="G185"/>
  <c r="G179"/>
  <c r="D51" l="1"/>
  <c r="E51"/>
  <c r="F51"/>
  <c r="I68"/>
  <c r="H68"/>
  <c r="G68"/>
  <c r="H247"/>
  <c r="I247"/>
  <c r="G247"/>
  <c r="I248"/>
  <c r="H248"/>
  <c r="G248"/>
  <c r="G205"/>
  <c r="H205"/>
  <c r="I205"/>
  <c r="E246" l="1"/>
  <c r="I73" l="1"/>
  <c r="D10" i="9" l="1"/>
  <c r="D11"/>
  <c r="D12"/>
  <c r="D14"/>
  <c r="I72" i="1"/>
  <c r="G90"/>
  <c r="H90"/>
  <c r="I90"/>
  <c r="G86"/>
  <c r="H86"/>
  <c r="I86"/>
  <c r="I82"/>
  <c r="I79" s="1"/>
  <c r="H82"/>
  <c r="G82"/>
  <c r="I51"/>
  <c r="H53"/>
  <c r="G70"/>
  <c r="G52" s="1"/>
  <c r="H70"/>
  <c r="H52" s="1"/>
  <c r="I70"/>
  <c r="I52" s="1"/>
  <c r="G51"/>
  <c r="H51"/>
  <c r="I206"/>
  <c r="G206"/>
  <c r="F206"/>
  <c r="D206"/>
  <c r="I178"/>
  <c r="F178"/>
  <c r="D178"/>
  <c r="I108"/>
  <c r="H108"/>
  <c r="G108"/>
  <c r="F108"/>
  <c r="E108"/>
  <c r="I107"/>
  <c r="H107"/>
  <c r="G107"/>
  <c r="F107"/>
  <c r="E107"/>
  <c r="I106"/>
  <c r="H106"/>
  <c r="G106"/>
  <c r="F106"/>
  <c r="E106"/>
  <c r="D108"/>
  <c r="D107"/>
  <c r="D106"/>
  <c r="D73"/>
  <c r="D33" s="1"/>
  <c r="F74"/>
  <c r="F34" s="1"/>
  <c r="E74"/>
  <c r="E34" s="1"/>
  <c r="F73"/>
  <c r="E73"/>
  <c r="E33" s="1"/>
  <c r="F72"/>
  <c r="E72"/>
  <c r="D74"/>
  <c r="D72"/>
  <c r="D35"/>
  <c r="E35"/>
  <c r="F35"/>
  <c r="G35"/>
  <c r="H35"/>
  <c r="I35"/>
  <c r="C6" i="9"/>
  <c r="F246" i="1"/>
  <c r="D246"/>
  <c r="I242"/>
  <c r="F242"/>
  <c r="D163"/>
  <c r="I163"/>
  <c r="H163"/>
  <c r="G163"/>
  <c r="F163"/>
  <c r="E163"/>
  <c r="I149"/>
  <c r="H149"/>
  <c r="G149"/>
  <c r="F149"/>
  <c r="E149"/>
  <c r="D149"/>
  <c r="I135"/>
  <c r="H135"/>
  <c r="G135"/>
  <c r="F135"/>
  <c r="E135"/>
  <c r="D135"/>
  <c r="I131"/>
  <c r="H131"/>
  <c r="G131"/>
  <c r="F131"/>
  <c r="E131"/>
  <c r="D131"/>
  <c r="I117"/>
  <c r="H117"/>
  <c r="G117"/>
  <c r="F117"/>
  <c r="E117"/>
  <c r="D117"/>
  <c r="I113"/>
  <c r="H113"/>
  <c r="G113"/>
  <c r="F113"/>
  <c r="E113"/>
  <c r="D113"/>
  <c r="I109"/>
  <c r="H109"/>
  <c r="G109"/>
  <c r="F109"/>
  <c r="E109"/>
  <c r="D109"/>
  <c r="I91"/>
  <c r="H91"/>
  <c r="G91"/>
  <c r="F91"/>
  <c r="E91"/>
  <c r="D91"/>
  <c r="F87"/>
  <c r="E87"/>
  <c r="D87"/>
  <c r="F83"/>
  <c r="E83"/>
  <c r="D83"/>
  <c r="F79"/>
  <c r="E79"/>
  <c r="D79"/>
  <c r="E75"/>
  <c r="D75"/>
  <c r="F67"/>
  <c r="E67"/>
  <c r="D67"/>
  <c r="I53"/>
  <c r="I50" s="1"/>
  <c r="I32" s="1"/>
  <c r="G53"/>
  <c r="G50" s="1"/>
  <c r="F53"/>
  <c r="F50" s="1"/>
  <c r="F49" s="1"/>
  <c r="E53"/>
  <c r="E50" s="1"/>
  <c r="E49" s="1"/>
  <c r="D53"/>
  <c r="D50" s="1"/>
  <c r="I33" l="1"/>
  <c r="D199"/>
  <c r="G199" s="1"/>
  <c r="D49"/>
  <c r="D32"/>
  <c r="I67"/>
  <c r="H50"/>
  <c r="E205"/>
  <c r="F205"/>
  <c r="E105"/>
  <c r="E71"/>
  <c r="D71"/>
  <c r="D105"/>
  <c r="D34"/>
  <c r="F105"/>
  <c r="H105"/>
  <c r="G105"/>
  <c r="I105"/>
  <c r="G72"/>
  <c r="G32" s="1"/>
  <c r="I246"/>
  <c r="E32"/>
  <c r="G83"/>
  <c r="H87"/>
  <c r="G67"/>
  <c r="F32"/>
  <c r="F193" s="1"/>
  <c r="I193" s="1"/>
  <c r="F33"/>
  <c r="F199" s="1"/>
  <c r="I199" s="1"/>
  <c r="H246"/>
  <c r="G246"/>
  <c r="G178"/>
  <c r="G87"/>
  <c r="F71"/>
  <c r="D6" i="9"/>
  <c r="I87" i="1"/>
  <c r="G74"/>
  <c r="G34" s="1"/>
  <c r="H74"/>
  <c r="H34" s="1"/>
  <c r="I74"/>
  <c r="I34" s="1"/>
  <c r="H83"/>
  <c r="I83"/>
  <c r="H72"/>
  <c r="G79"/>
  <c r="H73"/>
  <c r="H33" s="1"/>
  <c r="G73"/>
  <c r="G33" s="1"/>
  <c r="H79"/>
  <c r="I75"/>
  <c r="G75"/>
  <c r="H67"/>
  <c r="I49"/>
  <c r="G49"/>
  <c r="H49" l="1"/>
  <c r="H32"/>
  <c r="E31"/>
  <c r="E192" s="1"/>
  <c r="H31"/>
  <c r="H192" s="1"/>
  <c r="D193"/>
  <c r="G193" s="1"/>
  <c r="G192" s="1"/>
  <c r="G31"/>
  <c r="I31"/>
  <c r="D205"/>
  <c r="D192" s="1"/>
  <c r="I192"/>
  <c r="F192"/>
  <c r="F31"/>
  <c r="D31"/>
  <c r="G71"/>
  <c r="H71"/>
  <c r="I71"/>
</calcChain>
</file>

<file path=xl/sharedStrings.xml><?xml version="1.0" encoding="utf-8"?>
<sst xmlns="http://schemas.openxmlformats.org/spreadsheetml/2006/main" count="856" uniqueCount="282">
  <si>
    <t>Наименование показателя</t>
  </si>
  <si>
    <t>С начала года</t>
  </si>
  <si>
    <t>Примечание</t>
  </si>
  <si>
    <t>количество</t>
  </si>
  <si>
    <t xml:space="preserve">Покупка                   </t>
  </si>
  <si>
    <t xml:space="preserve">Продажа                   </t>
  </si>
  <si>
    <t>010.1</t>
  </si>
  <si>
    <t xml:space="preserve">Сделки c акциями          </t>
  </si>
  <si>
    <t>011.1</t>
  </si>
  <si>
    <t>011.2</t>
  </si>
  <si>
    <t xml:space="preserve">Сделки с облигациями - всего                     </t>
  </si>
  <si>
    <t>012.1</t>
  </si>
  <si>
    <t>012.2</t>
  </si>
  <si>
    <t xml:space="preserve">С облигациями местных  займов                    </t>
  </si>
  <si>
    <t>012.3</t>
  </si>
  <si>
    <t xml:space="preserve">С облигациями юридических лиц                       </t>
  </si>
  <si>
    <t>012.4</t>
  </si>
  <si>
    <t>012.5</t>
  </si>
  <si>
    <t>Сделки с векселями - всего</t>
  </si>
  <si>
    <t>013.1</t>
  </si>
  <si>
    <t>013.2</t>
  </si>
  <si>
    <t>013.3</t>
  </si>
  <si>
    <t xml:space="preserve">С прочими векселями       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</si>
  <si>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</si>
  <si>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</si>
  <si>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</si>
  <si>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</si>
  <si>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</si>
  <si>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</si>
  <si>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</si>
  <si>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</si>
  <si>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</si>
  <si>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</si>
  <si>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</si>
  <si>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</si>
  <si>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</si>
  <si>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</si>
  <si>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В том числе с государственными  облигациями</t>
  </si>
  <si>
    <t>x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</si>
  <si>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</si>
  <si>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</si>
  <si>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</si>
  <si>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</si>
  <si>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</si>
  <si>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</si>
  <si>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</si>
  <si>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</si>
  <si>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</si>
  <si>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</si>
  <si>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Раздел IV</t>
  </si>
  <si>
    <t>Раздел V</t>
  </si>
  <si>
    <t>ДЕЯТЕЛЬНОСТЬ ПО ОРГАНИЗАЦИИ ТОРГОВЛИ ЦЕННЫМИ БУМАГАМИ</t>
  </si>
  <si>
    <t>За отчетный квартал</t>
  </si>
  <si>
    <t xml:space="preserve">Сделки с акциями           </t>
  </si>
  <si>
    <t>071.1</t>
  </si>
  <si>
    <t>072.1</t>
  </si>
  <si>
    <t>072.2</t>
  </si>
  <si>
    <t>072.3</t>
  </si>
  <si>
    <t>072.4</t>
  </si>
  <si>
    <t xml:space="preserve">Прочими облигациями        </t>
  </si>
  <si>
    <t>072.5</t>
  </si>
  <si>
    <t xml:space="preserve">Сделки с производными  ценными бумагами           </t>
  </si>
  <si>
    <t xml:space="preserve">Сделки с прочими ценными бумагами (указать какими)  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</si>
  <si>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</si>
  <si>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</si>
  <si>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</si>
  <si>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</si>
  <si>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</si>
  <si>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</si>
  <si>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</si>
  <si>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</si>
  <si>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</si>
  <si>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</si>
  <si>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</si>
  <si>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</si>
  <si>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</si>
  <si>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</si>
  <si>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</si>
  <si>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</si>
  <si>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</si>
  <si>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</si>
  <si>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</si>
  <si>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</si>
  <si>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</si>
  <si>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070</t>
  </si>
  <si>
    <t>071</t>
  </si>
  <si>
    <t>072</t>
  </si>
  <si>
    <t>073</t>
  </si>
  <si>
    <t>074</t>
  </si>
  <si>
    <t>075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</si>
  <si>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</si>
  <si>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</si>
  <si>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</si>
  <si>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</si>
  <si>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</si>
  <si>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</si>
  <si>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</si>
  <si>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</si>
  <si>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</si>
  <si>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</si>
  <si>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</si>
  <si>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</si>
  <si>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</si>
  <si>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Х</t>
  </si>
  <si>
    <t>тысяч рублей</t>
  </si>
  <si>
    <t>М.П.</t>
  </si>
  <si>
    <t>Руководитель</t>
  </si>
  <si>
    <t>(подпись)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</si>
  <si>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</si>
  <si>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</si>
  <si>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</si>
  <si>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</si>
  <si>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 xml:space="preserve">Совершено сделок купли-продажи ценных бумаг  -  всего (строка 010 = строка 011 + строка 012 + строка 013 + строка 014 + строка 015 + строка 016) 
</t>
  </si>
  <si>
    <t>011</t>
  </si>
  <si>
    <t>01</t>
  </si>
  <si>
    <t>02</t>
  </si>
  <si>
    <t>012</t>
  </si>
  <si>
    <t>013</t>
  </si>
  <si>
    <t>Количество зарегистрированных сделок, в которых профучастник не выступал стороной сделки</t>
  </si>
  <si>
    <t>Единица измерения</t>
  </si>
  <si>
    <t>020</t>
  </si>
  <si>
    <t>04</t>
  </si>
  <si>
    <t xml:space="preserve">по состоянию на </t>
  </si>
  <si>
    <t xml:space="preserve">С облигациями Национального банка Республики Беларусь 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</si>
  <si>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</si>
  <si>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</si>
  <si>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</si>
  <si>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</si>
  <si>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</si>
  <si>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</si>
  <si>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</si>
  <si>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 xml:space="preserve">Сделки по составляющим работам и услугам профессиональной и биржевой деятельности по ценным бумагам          </t>
  </si>
  <si>
    <t>Расторгнуто сделок</t>
  </si>
  <si>
    <t>05</t>
  </si>
  <si>
    <t>Из них расторгнуто сделок</t>
  </si>
  <si>
    <t>060</t>
  </si>
  <si>
    <t>х</t>
  </si>
  <si>
    <t xml:space="preserve">В том числе с ценными бумагами эмитированными (выданными) нерезидентами     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</si>
  <si>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</si>
  <si>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</si>
  <si>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</si>
  <si>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</si>
  <si>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</si>
  <si>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</si>
  <si>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</si>
  <si>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</si>
  <si>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 xml:space="preserve">в том числе ценных бумаг, эмитированных (выданных): </t>
  </si>
  <si>
    <t>02.1</t>
  </si>
  <si>
    <t>02.2</t>
  </si>
  <si>
    <t>02.3</t>
  </si>
  <si>
    <t>02.4</t>
  </si>
  <si>
    <t xml:space="preserve">в том числе акций, эмитированных:  </t>
  </si>
  <si>
    <t>Сделки с акциями на организованном рынке</t>
  </si>
  <si>
    <t>С облигациями,  эмитированными нерезидентами</t>
  </si>
  <si>
    <t xml:space="preserve">В том числе с  векселями, выданными банками            </t>
  </si>
  <si>
    <t>С векселями, выданными юридическими лицами - резидентами Республики Беларусь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</si>
  <si>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</si>
  <si>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</si>
  <si>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</si>
  <si>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</si>
  <si>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</si>
  <si>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 xml:space="preserve">в том числе во исполнение поручений клиентов, являющихся: </t>
  </si>
  <si>
    <t xml:space="preserve">в том числе в интересах клиентов, являющихся: </t>
  </si>
  <si>
    <t xml:space="preserve">в том числе: совершенные во исполнение поручений (в интересах) клиентов, являющихся: </t>
  </si>
  <si>
    <t>025.1</t>
  </si>
  <si>
    <t>06.1</t>
  </si>
  <si>
    <t>06.2</t>
  </si>
  <si>
    <t>06.3</t>
  </si>
  <si>
    <t>06.4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</si>
  <si>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</si>
  <si>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</si>
  <si>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</si>
  <si>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</si>
  <si>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</si>
  <si>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</si>
  <si>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 xml:space="preserve">Получено ценных бумаг по договорам мены,в том числе акций закрытых акционерных обществ, облигаций, векселей     </t>
  </si>
  <si>
    <t xml:space="preserve">Передано ценных бумаг по договорам мены, в том числе акций закрытых акционерных обществ, облигаций, векселей   </t>
  </si>
  <si>
    <t xml:space="preserve">В том числе с  
акциями,
эмитированными 
нерезидентами
         </t>
  </si>
  <si>
    <t>в том числе облигаций, эмитированных:</t>
  </si>
  <si>
    <t>в том числе с ценными бумагами, эмитированными (выданными):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</si>
  <si>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</si>
  <si>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</si>
  <si>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</si>
  <si>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</si>
  <si>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</si>
  <si>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</si>
  <si>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</si>
  <si>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</si>
  <si>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</si>
  <si>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 xml:space="preserve">Совершено сделок с ценными бумагами в торговой системе организатора тоговли - всего (строка 070 = строка 071 + строка 072 + строка 073 + строка 074 + строка 075)        </t>
  </si>
  <si>
    <t>071.2</t>
  </si>
  <si>
    <t>071.3</t>
  </si>
  <si>
    <t>071.4</t>
  </si>
  <si>
    <t>071.5</t>
  </si>
  <si>
    <t xml:space="preserve">Сделки с облигациями             </t>
  </si>
  <si>
    <t xml:space="preserve">В том числе:         
с государственными облигациями  
</t>
  </si>
  <si>
    <t xml:space="preserve">облигациями Национального банка Республики Беларусь </t>
  </si>
  <si>
    <t xml:space="preserve">облигациями местных займов        </t>
  </si>
  <si>
    <t>облигациями юридических лиц</t>
  </si>
  <si>
    <t>073.2</t>
  </si>
  <si>
    <t>073.3</t>
  </si>
  <si>
    <t>073.4</t>
  </si>
  <si>
    <t>073.5</t>
  </si>
  <si>
    <t>080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</si>
  <si>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</si>
  <si>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</si>
  <si>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</si>
  <si>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</si>
  <si>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</si>
  <si>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</si>
  <si>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Невыполненные обязательства перед кредиторами и по платежам в бюджет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</si>
  <si>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</si>
  <si>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</si>
  <si>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</si>
  <si>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</si>
  <si>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</si>
  <si>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</si>
  <si>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</si>
  <si>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</si>
  <si>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</si>
  <si>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</si>
  <si>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</si>
  <si>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</si>
  <si>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 xml:space="preserve">объем сделок, тысяч рублей </t>
  </si>
  <si>
    <t>01х</t>
  </si>
  <si>
    <t>02х</t>
  </si>
  <si>
    <t>Приложение</t>
  </si>
  <si>
    <t>к Инструкции о порядке</t>
  </si>
  <si>
    <t>раскрытия информации</t>
  </si>
  <si>
    <t>на рынке ценных бумаг</t>
  </si>
  <si>
    <t>Форма 4</t>
  </si>
  <si>
    <t>Представляется не позднее 35 календарных</t>
  </si>
  <si>
    <t xml:space="preserve">дней, следующих  за отчетным кварталом </t>
  </si>
  <si>
    <t>(ежеквартальный отчет), и не позднее</t>
  </si>
  <si>
    <t xml:space="preserve"> 30 апреля года, следующего за отчетным</t>
  </si>
  <si>
    <t>(годовой отчет), в Департамент по ценным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</si>
  <si>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</si>
  <si>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</si>
  <si>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</si>
  <si>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</si>
  <si>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</si>
  <si>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</si>
  <si>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</si>
  <si>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оказывающие эмитенту услуги</t>
  </si>
  <si>
    <t>по ведению бухгалтерского учета</t>
  </si>
  <si>
    <t>и составлению бухгалтерской</t>
  </si>
  <si>
    <t>и (или) финансовой отчетности</t>
  </si>
  <si>
    <t>Главный бухгалтер либо</t>
  </si>
  <si>
    <t>Исполнитель</t>
  </si>
  <si>
    <t>(должность, фамилия, инициалы исполнителя,тел.)</t>
  </si>
  <si>
    <t>адрес электронной почты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</si>
  <si>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</si>
  <si>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</si>
  <si>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</si>
  <si>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</si>
  <si>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</si>
  <si>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В том числе с акциями, эмитированными эмитентами – нерезидентами              в том числе с акциями, эмитированными: </t>
  </si>
  <si>
    <t>Сделки с облигациями, эмитированными эмитентами-нерезидентами                     в том числе с облигациями, эмитированными:</t>
  </si>
  <si>
    <t xml:space="preserve">бумагам Министерства финансов Республики Беларусь </t>
  </si>
  <si>
    <t>20____ г.</t>
  </si>
  <si>
    <t>_____</t>
  </si>
  <si>
    <t>___________</t>
  </si>
  <si>
    <t xml:space="preserve">Местонахождение, индекс, почтовый адрес, телефон, факс (с междугородным кодом), банковские реквизиты      </t>
  </si>
  <si>
    <t>Сделки с ценными бумагами, эмитированными (выданными) профучастником</t>
  </si>
  <si>
    <t xml:space="preserve"> (инициалы, фамилия)</t>
  </si>
  <si>
    <t>Количество открытых накопительных счетов ”депо“ в том числе открытых:</t>
  </si>
  <si>
    <t>Раздел VII</t>
  </si>
  <si>
    <t>Открытое акционерное общество "Белагропромбанк"</t>
  </si>
  <si>
    <t>info@belapb.by</t>
  </si>
  <si>
    <t>М.А.Шаповалова</t>
  </si>
  <si>
    <t>С.П.Чугай</t>
  </si>
  <si>
    <t xml:space="preserve">220036, г.Минск, пр-т Жукова, 3, тел. +375 (17) 218 57 15, 218 57 77, факс +375 (17) 218 57 14, кор.счет в Национальном банке Республики Беларусь: BY33NBRB32000096400110000000, БИК NBRBBY2X </t>
  </si>
  <si>
    <t>прочие работы и услуги, связанные с вышеперечисленными*</t>
  </si>
  <si>
    <t>В том числе: брокерская деятельность*</t>
  </si>
  <si>
    <t>Примечание: * - доходы за услуги по подготовке документов, необходимых для осуществления эмиссии ценных бумаг, полученные за полугодие, перенесены из строки 041 в строку 047 в соответствии с разъяснениями Департамента по ценным бумагам Министерства финансов Республики Беларусь (письмо №26-2-12/4008 от 14.09.2017)</t>
  </si>
  <si>
    <t>Ведущий экономист Управления ценных бумаг, Дедорова О.А., тел. 229 64 42</t>
  </si>
  <si>
    <t>В рамках брокерской деятельности по поручению клиента в 4 квартале 2017 года внесено 19 изменений в условия ранее заключенных сделок РЕПО</t>
  </si>
  <si>
    <t>За отчетный квартал к сделкам покупки отнесены:сделки по выкупу облигаций в количестве 44 шт. на общую сумму 61 433,16 тыс.бел.руб., сделки погашения  депозитных сертификатов в количестве 223 штуки на общую сумму 33 486,69 тыс. бел. руб., сделки погашения облигаций в количестве 37 штук на общую сумму 47 878,12 тыс. бел. руб.</t>
  </si>
  <si>
    <t>За отчетный квартал к сделкам продажи отнесены: сделки с депозитными сертификатами  в количестве 214 шт. на общую сумму 45894,31 тыс.бел.руб. и сделки с облигациями в количестве 28 шт. на общую сумму 38 007,99 тыс.бел.руб.</t>
  </si>
  <si>
    <t>Приобретение нот участия в кредите OOO "Евроторг" (SPV Bonitron D.A.C.)</t>
  </si>
  <si>
    <t>В отчетном периоде к сделкам отнесено 3 дополнительных соглашения к договорам о залоге ценных бумаг ( 1- в части прекращения договора залога облигаций, 2- не изменившее предмет залога)</t>
  </si>
  <si>
    <t xml:space="preserve">К сделке отнесено дополнительное соглашение о расторжении договора о залоге, заключенного в ином отчетном периоде 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</si>
</sst>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#,##0.00_р_."/>
  </numFmts>
  <fonts count="23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2"/>
      <name val="Arial"/>
      <family val="2"/>
      <charset val="204"/>
    </font>
    <font>
      <sz val="8"/>
      <color indexed="8"/>
      <name val="Arial Cyr"/>
      <charset val="204"/>
    </font>
    <font>
      <sz val="10"/>
      <color indexed="8"/>
      <name val="Arial Cyr"/>
      <charset val="204"/>
    </font>
    <font>
      <u/>
      <sz val="10"/>
      <color theme="10"/>
      <name val="Arial Cyr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1">
      <alignment horizontal="center"/>
    </xf>
  </cellStyleXfs>
  <cellXfs count="163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/>
    <xf numFmtId="0" fontId="0" fillId="0" borderId="0" xfId="0" applyBorder="1" applyAlignment="1">
      <alignment wrapText="1"/>
    </xf>
    <xf numFmtId="0" fontId="11" fillId="0" borderId="0" xfId="0" applyFont="1"/>
    <xf numFmtId="0" fontId="12" fillId="0" borderId="0" xfId="0" applyFont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0" fontId="14" fillId="0" borderId="0" xfId="0" applyFont="1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1" xfId="0" applyNumberFormat="1" applyBorder="1"/>
    <xf numFmtId="165" fontId="15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justify" wrapText="1"/>
    </xf>
    <xf numFmtId="0" fontId="10" fillId="0" borderId="0" xfId="0" applyFont="1"/>
    <xf numFmtId="0" fontId="8" fillId="0" borderId="5" xfId="0" applyFont="1" applyBorder="1"/>
    <xf numFmtId="0" fontId="10" fillId="0" borderId="5" xfId="0" applyFont="1" applyBorder="1"/>
    <xf numFmtId="0" fontId="9" fillId="0" borderId="0" xfId="0" applyFont="1" applyFill="1" applyAlignment="1"/>
    <xf numFmtId="0" fontId="4" fillId="0" borderId="0" xfId="0" applyFont="1" applyAlignment="1">
      <alignment horizontal="left" vertical="justify"/>
    </xf>
    <xf numFmtId="0" fontId="0" fillId="0" borderId="0" xfId="0" applyFont="1"/>
    <xf numFmtId="0" fontId="10" fillId="0" borderId="0" xfId="0" applyFont="1" applyAlignment="1">
      <alignment vertical="top"/>
    </xf>
    <xf numFmtId="0" fontId="0" fillId="0" borderId="0" xfId="0" applyFont="1" applyAlignment="1">
      <alignment horizontal="right"/>
    </xf>
    <xf numFmtId="1" fontId="4" fillId="2" borderId="0" xfId="0" applyNumberFormat="1" applyFont="1" applyFill="1"/>
    <xf numFmtId="0" fontId="8" fillId="0" borderId="5" xfId="0" applyFont="1" applyBorder="1"/>
    <xf numFmtId="0" fontId="8" fillId="0" borderId="5" xfId="0" applyFont="1" applyBorder="1"/>
    <xf numFmtId="0" fontId="0" fillId="0" borderId="5" xfId="0" applyBorder="1" applyAlignment="1">
      <alignment wrapText="1"/>
    </xf>
    <xf numFmtId="49" fontId="2" fillId="0" borderId="0" xfId="0" applyNumberFormat="1" applyFont="1" applyBorder="1" applyAlignment="1">
      <alignment horizontal="left" vertical="top" wrapText="1"/>
    </xf>
    <xf numFmtId="165" fontId="2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" fillId="3" borderId="1" xfId="0" applyFont="1" applyFill="1" applyBorder="1" applyAlignment="1">
      <alignment vertical="top" wrapText="1"/>
    </xf>
    <xf numFmtId="165" fontId="2" fillId="3" borderId="1" xfId="0" applyNumberFormat="1" applyFont="1" applyFill="1" applyBorder="1" applyAlignment="1">
      <alignment vertical="top" wrapText="1"/>
    </xf>
    <xf numFmtId="0" fontId="0" fillId="3" borderId="1" xfId="0" applyFill="1" applyBorder="1"/>
    <xf numFmtId="165" fontId="0" fillId="3" borderId="1" xfId="0" applyNumberFormat="1" applyFill="1" applyBorder="1"/>
    <xf numFmtId="0" fontId="0" fillId="3" borderId="1" xfId="0" applyFill="1" applyBorder="1" applyAlignment="1">
      <alignment wrapText="1"/>
    </xf>
    <xf numFmtId="165" fontId="2" fillId="3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0" fillId="3" borderId="0" xfId="0" applyFill="1"/>
    <xf numFmtId="0" fontId="9" fillId="3" borderId="0" xfId="0" applyFont="1" applyFill="1" applyAlignment="1">
      <alignment horizontal="right"/>
    </xf>
    <xf numFmtId="0" fontId="2" fillId="3" borderId="0" xfId="0" applyFont="1" applyFill="1"/>
    <xf numFmtId="0" fontId="5" fillId="3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vertical="center" wrapText="1"/>
    </xf>
    <xf numFmtId="165" fontId="17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/>
    <xf numFmtId="0" fontId="0" fillId="3" borderId="2" xfId="0" applyFill="1" applyBorder="1"/>
    <xf numFmtId="165" fontId="0" fillId="3" borderId="0" xfId="0" applyNumberFormat="1" applyFill="1"/>
    <xf numFmtId="0" fontId="0" fillId="3" borderId="12" xfId="0" applyFill="1" applyBorder="1"/>
    <xf numFmtId="0" fontId="0" fillId="3" borderId="0" xfId="0" applyFill="1" applyBorder="1"/>
    <xf numFmtId="0" fontId="0" fillId="3" borderId="1" xfId="0" applyFill="1" applyBorder="1" applyAlignme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vertical="justify" wrapText="1"/>
    </xf>
    <xf numFmtId="49" fontId="0" fillId="3" borderId="2" xfId="0" applyNumberFormat="1" applyFill="1" applyBorder="1" applyAlignment="1"/>
    <xf numFmtId="49" fontId="0" fillId="3" borderId="2" xfId="0" applyNumberFormat="1" applyFill="1" applyBorder="1" applyAlignment="1">
      <alignment horizontal="left"/>
    </xf>
    <xf numFmtId="3" fontId="15" fillId="3" borderId="3" xfId="0" applyNumberFormat="1" applyFont="1" applyFill="1" applyBorder="1" applyAlignment="1">
      <alignment vertical="top" wrapText="1"/>
    </xf>
    <xf numFmtId="165" fontId="15" fillId="3" borderId="3" xfId="0" applyNumberFormat="1" applyFont="1" applyFill="1" applyBorder="1" applyAlignment="1">
      <alignment vertical="top" wrapText="1"/>
    </xf>
    <xf numFmtId="3" fontId="15" fillId="3" borderId="1" xfId="0" applyNumberFormat="1" applyFont="1" applyFill="1" applyBorder="1" applyAlignment="1">
      <alignment vertical="top" wrapText="1"/>
    </xf>
    <xf numFmtId="165" fontId="15" fillId="3" borderId="1" xfId="0" applyNumberFormat="1" applyFont="1" applyFill="1" applyBorder="1" applyAlignment="1">
      <alignment vertical="top" wrapText="1"/>
    </xf>
    <xf numFmtId="4" fontId="15" fillId="3" borderId="1" xfId="0" applyNumberFormat="1" applyFont="1" applyFill="1" applyBorder="1" applyAlignment="1">
      <alignment vertical="top" wrapText="1"/>
    </xf>
    <xf numFmtId="0" fontId="0" fillId="3" borderId="1" xfId="0" applyFill="1" applyBorder="1" applyAlignment="1">
      <alignment vertical="justify" wrapText="1"/>
    </xf>
    <xf numFmtId="49" fontId="0" fillId="3" borderId="1" xfId="0" applyNumberFormat="1" applyFill="1" applyBorder="1" applyAlignment="1">
      <alignment horizontal="left"/>
    </xf>
    <xf numFmtId="0" fontId="2" fillId="3" borderId="2" xfId="0" applyFont="1" applyFill="1" applyBorder="1" applyAlignment="1">
      <alignment vertical="top" wrapText="1"/>
    </xf>
    <xf numFmtId="165" fontId="2" fillId="3" borderId="2" xfId="0" applyNumberFormat="1" applyFont="1" applyFill="1" applyBorder="1" applyAlignment="1">
      <alignment vertical="top" wrapText="1"/>
    </xf>
    <xf numFmtId="0" fontId="0" fillId="3" borderId="2" xfId="0" applyFont="1" applyFill="1" applyBorder="1" applyAlignment="1">
      <alignment vertical="justify" wrapText="1"/>
    </xf>
    <xf numFmtId="49" fontId="0" fillId="3" borderId="2" xfId="0" applyNumberFormat="1" applyFont="1" applyFill="1" applyBorder="1" applyAlignment="1"/>
    <xf numFmtId="49" fontId="0" fillId="3" borderId="2" xfId="0" applyNumberFormat="1" applyFont="1" applyFill="1" applyBorder="1" applyAlignment="1">
      <alignment horizontal="left"/>
    </xf>
    <xf numFmtId="0" fontId="0" fillId="3" borderId="2" xfId="0" applyFont="1" applyFill="1" applyBorder="1"/>
    <xf numFmtId="165" fontId="0" fillId="3" borderId="2" xfId="0" applyNumberFormat="1" applyFont="1" applyFill="1" applyBorder="1"/>
    <xf numFmtId="165" fontId="0" fillId="3" borderId="2" xfId="0" applyNumberFormat="1" applyFill="1" applyBorder="1"/>
    <xf numFmtId="0" fontId="0" fillId="3" borderId="1" xfId="0" applyFont="1" applyFill="1" applyBorder="1" applyAlignment="1">
      <alignment vertical="justify" wrapText="1"/>
    </xf>
    <xf numFmtId="49" fontId="0" fillId="3" borderId="1" xfId="0" applyNumberFormat="1" applyFont="1" applyFill="1" applyBorder="1" applyAlignment="1"/>
    <xf numFmtId="165" fontId="0" fillId="3" borderId="1" xfId="0" applyNumberFormat="1" applyFont="1" applyFill="1" applyBorder="1"/>
    <xf numFmtId="49" fontId="0" fillId="3" borderId="1" xfId="0" applyNumberFormat="1" applyFill="1" applyBorder="1" applyAlignment="1"/>
    <xf numFmtId="2" fontId="0" fillId="3" borderId="1" xfId="0" applyNumberFormat="1" applyFill="1" applyBorder="1"/>
    <xf numFmtId="49" fontId="0" fillId="3" borderId="1" xfId="0" applyNumberFormat="1" applyFill="1" applyBorder="1"/>
    <xf numFmtId="0" fontId="2" fillId="3" borderId="1" xfId="0" applyFont="1" applyFill="1" applyBorder="1" applyAlignment="1">
      <alignment horizontal="left" vertical="center" wrapText="1"/>
    </xf>
    <xf numFmtId="1" fontId="0" fillId="3" borderId="2" xfId="0" applyNumberFormat="1" applyFill="1" applyBorder="1"/>
    <xf numFmtId="0" fontId="0" fillId="3" borderId="6" xfId="0" applyFill="1" applyBorder="1"/>
    <xf numFmtId="1" fontId="0" fillId="3" borderId="1" xfId="0" applyNumberFormat="1" applyFill="1" applyBorder="1"/>
    <xf numFmtId="1" fontId="0" fillId="3" borderId="0" xfId="0" applyNumberFormat="1" applyFill="1"/>
    <xf numFmtId="0" fontId="15" fillId="3" borderId="1" xfId="0" applyFont="1" applyFill="1" applyBorder="1" applyAlignment="1">
      <alignment vertical="top" wrapText="1"/>
    </xf>
    <xf numFmtId="3" fontId="16" fillId="3" borderId="1" xfId="0" applyNumberFormat="1" applyFont="1" applyFill="1" applyBorder="1" applyAlignment="1">
      <alignment vertical="top" wrapText="1"/>
    </xf>
    <xf numFmtId="165" fontId="16" fillId="3" borderId="1" xfId="0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vertical="top" wrapText="1"/>
    </xf>
    <xf numFmtId="3" fontId="15" fillId="3" borderId="1" xfId="0" applyNumberFormat="1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vertical="top" wrapText="1"/>
    </xf>
    <xf numFmtId="165" fontId="22" fillId="3" borderId="1" xfId="0" applyNumberFormat="1" applyFont="1" applyFill="1" applyBorder="1" applyAlignment="1">
      <alignment vertical="top" wrapText="1"/>
    </xf>
    <xf numFmtId="3" fontId="0" fillId="3" borderId="1" xfId="0" applyNumberFormat="1" applyFill="1" applyBorder="1"/>
    <xf numFmtId="4" fontId="0" fillId="3" borderId="1" xfId="0" applyNumberFormat="1" applyFill="1" applyBorder="1"/>
    <xf numFmtId="0" fontId="0" fillId="3" borderId="4" xfId="0" applyFill="1" applyBorder="1"/>
    <xf numFmtId="165" fontId="0" fillId="3" borderId="4" xfId="0" applyNumberFormat="1" applyFill="1" applyBorder="1"/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left" vertical="center"/>
    </xf>
    <xf numFmtId="0" fontId="2" fillId="3" borderId="1" xfId="0" applyFont="1" applyFill="1" applyBorder="1" applyAlignment="1">
      <alignment horizontal="justify" vertical="top" wrapText="1"/>
    </xf>
    <xf numFmtId="165" fontId="0" fillId="3" borderId="1" xfId="0" applyNumberFormat="1" applyFill="1" applyBorder="1" applyAlignment="1">
      <alignment horizontal="center" vertical="top" wrapText="1"/>
    </xf>
    <xf numFmtId="11" fontId="4" fillId="2" borderId="0" xfId="0" applyNumberFormat="1" applyFont="1" applyFill="1" applyAlignment="1"/>
    <xf numFmtId="0" fontId="0" fillId="0" borderId="0" xfId="0" applyAlignment="1"/>
    <xf numFmtId="0" fontId="4" fillId="2" borderId="0" xfId="0" applyFont="1" applyFill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49" fontId="14" fillId="0" borderId="0" xfId="0" applyNumberFormat="1" applyFont="1" applyAlignment="1">
      <alignment horizontal="center" wrapText="1" shrinkToFit="1"/>
    </xf>
    <xf numFmtId="164" fontId="8" fillId="2" borderId="0" xfId="0" applyNumberFormat="1" applyFont="1" applyFill="1" applyAlignment="1">
      <alignment horizontal="left"/>
    </xf>
    <xf numFmtId="0" fontId="3" fillId="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164" fontId="21" fillId="2" borderId="0" xfId="1" applyNumberFormat="1" applyFill="1" applyAlignment="1" applyProtection="1">
      <alignment horizontal="left"/>
    </xf>
    <xf numFmtId="0" fontId="3" fillId="3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7">
    <cellStyle name="Гиперссылка" xfId="1" builtinId="8"/>
    <cellStyle name="Обычный" xfId="0" builtinId="0"/>
    <cellStyle name="Обычный 2 2" xfId="2"/>
    <cellStyle name="Обычный 3" xfId="3"/>
    <cellStyle name="Обычный 3 3" xfId="4"/>
    <cellStyle name="Обычный 3 4" xfId="5"/>
    <cellStyle name="Табличный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elapb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"/>
  <sheetViews>
    <sheetView view="pageBreakPreview" zoomScaleNormal="100" zoomScaleSheetLayoutView="100" workbookViewId="0">
      <selection activeCell="J247" sqref="J247"/>
    </sheetView>
  </sheetViews>
  <sheetFormatPr defaultRowHeight="12.75"/>
  <cols>
    <col min="1" max="1" width="18.85546875" customWidth="1"/>
    <col min="2" max="2" width="8.28515625" customWidth="1"/>
    <col min="3" max="3" width="10.28515625" customWidth="1"/>
    <col min="4" max="4" width="10.5703125" customWidth="1"/>
    <col min="5" max="5" width="9.85546875" customWidth="1"/>
    <col min="6" max="6" width="14.42578125" customWidth="1"/>
    <col min="7" max="7" width="8.140625" customWidth="1"/>
    <col min="8" max="8" width="11.42578125" customWidth="1"/>
    <col min="9" max="9" width="14.7109375" customWidth="1"/>
    <col min="10" max="10" width="20.140625" customWidth="1"/>
    <col min="11" max="11" width="9.140625" customWidth="1"/>
    <col min="13" max="14" width="13.42578125" bestFit="1" customWidth="1"/>
  </cols>
  <sheetData>
    <row r="1" spans="1:10">
      <c r="A1" s="4"/>
      <c r="B1" s="4"/>
      <c r="C1" s="4"/>
      <c r="D1" s="4"/>
      <c r="E1" s="4"/>
      <c r="F1" s="4"/>
      <c r="H1" s="4"/>
      <c r="J1" s="4"/>
    </row>
    <row r="2" spans="1:10" ht="15.75">
      <c r="A2" s="4"/>
      <c r="B2" s="4"/>
      <c r="C2" s="4"/>
      <c r="D2" s="4"/>
      <c r="E2" s="4"/>
      <c r="F2" s="4"/>
      <c r="G2" s="50" t="s">
        <v>226</v>
      </c>
      <c r="H2" s="4"/>
      <c r="J2" s="4"/>
    </row>
    <row r="3" spans="1:10" ht="15.75">
      <c r="A3" s="4"/>
      <c r="B3" s="4"/>
      <c r="C3" s="4"/>
      <c r="D3" s="4"/>
      <c r="E3" s="4"/>
      <c r="F3" s="4"/>
      <c r="G3" s="50" t="s">
        <v>227</v>
      </c>
      <c r="H3" s="4"/>
      <c r="J3" s="4"/>
    </row>
    <row r="4" spans="1:10" ht="15.75">
      <c r="A4" s="4"/>
      <c r="B4" s="4"/>
      <c r="C4" s="4"/>
      <c r="D4" s="4"/>
      <c r="E4" s="4"/>
      <c r="F4" s="4"/>
      <c r="G4" s="50" t="s">
        <v>228</v>
      </c>
      <c r="H4" s="4"/>
      <c r="J4" s="4"/>
    </row>
    <row r="5" spans="1:10" ht="15.75">
      <c r="A5" s="4"/>
      <c r="B5" s="4"/>
      <c r="C5" s="4"/>
      <c r="D5" s="4"/>
      <c r="E5" s="4"/>
      <c r="F5" s="4"/>
      <c r="G5" s="50" t="s">
        <v>229</v>
      </c>
      <c r="H5" s="4"/>
      <c r="J5" s="4"/>
    </row>
    <row r="6" spans="1:10" ht="15.75">
      <c r="A6" s="4"/>
      <c r="B6" s="4"/>
      <c r="C6" s="4"/>
      <c r="D6" s="4"/>
      <c r="E6" s="4"/>
      <c r="F6" s="4"/>
      <c r="G6" s="4"/>
      <c r="H6" s="4"/>
      <c r="I6" s="16"/>
      <c r="J6" s="4"/>
    </row>
    <row r="7" spans="1:10" ht="18">
      <c r="A7" s="4"/>
      <c r="B7" s="4"/>
      <c r="C7" s="4"/>
      <c r="D7" s="4"/>
      <c r="E7" s="4"/>
      <c r="F7" s="4"/>
      <c r="G7" s="17" t="s">
        <v>230</v>
      </c>
      <c r="H7" s="4"/>
      <c r="I7" s="16"/>
      <c r="J7" s="4"/>
    </row>
    <row r="8" spans="1:10" ht="15.75">
      <c r="A8" s="4"/>
      <c r="B8" s="4"/>
      <c r="C8" s="4"/>
      <c r="D8" s="4"/>
      <c r="E8" s="4"/>
      <c r="F8" s="4"/>
      <c r="G8" s="4"/>
      <c r="H8" s="4"/>
      <c r="I8" s="16"/>
      <c r="J8" s="4"/>
    </row>
    <row r="9" spans="1:10" ht="15.75">
      <c r="A9" s="32" t="s">
        <v>94</v>
      </c>
      <c r="D9" s="55">
        <v>100693551</v>
      </c>
      <c r="E9" s="4"/>
      <c r="F9" s="4"/>
      <c r="G9" s="47" t="s">
        <v>231</v>
      </c>
      <c r="H9" s="4"/>
      <c r="I9" s="16"/>
      <c r="J9" s="4"/>
    </row>
    <row r="10" spans="1:10">
      <c r="A10" s="4"/>
      <c r="B10" s="4"/>
      <c r="C10" s="4"/>
      <c r="D10" s="4"/>
      <c r="E10" s="4"/>
      <c r="F10" s="4"/>
      <c r="G10" s="47" t="s">
        <v>232</v>
      </c>
      <c r="H10" s="4"/>
      <c r="J10" s="5"/>
    </row>
    <row r="11" spans="1:10">
      <c r="C11" s="4"/>
      <c r="E11" s="6"/>
      <c r="F11" s="4"/>
      <c r="G11" s="47" t="s">
        <v>233</v>
      </c>
      <c r="H11" s="4"/>
      <c r="J11" s="4"/>
    </row>
    <row r="12" spans="1:10" ht="15">
      <c r="A12" s="32" t="s">
        <v>95</v>
      </c>
      <c r="B12" s="4"/>
      <c r="C12" s="4"/>
      <c r="E12" s="6"/>
      <c r="F12" s="4"/>
      <c r="G12" s="47" t="s">
        <v>234</v>
      </c>
      <c r="H12" s="41"/>
      <c r="I12" s="42"/>
      <c r="J12" s="4"/>
    </row>
    <row r="13" spans="1:10">
      <c r="A13" s="134" t="s">
        <v>267</v>
      </c>
      <c r="B13" s="135"/>
      <c r="C13" s="135"/>
      <c r="D13" s="135"/>
      <c r="E13" s="135"/>
      <c r="F13" s="4"/>
      <c r="G13" s="47" t="s">
        <v>235</v>
      </c>
      <c r="H13" s="41"/>
      <c r="I13" s="42"/>
      <c r="J13" s="4"/>
    </row>
    <row r="14" spans="1:10" ht="28.5" customHeight="1">
      <c r="A14" s="153" t="s">
        <v>262</v>
      </c>
      <c r="B14" s="153"/>
      <c r="C14" s="153"/>
      <c r="D14" s="153"/>
      <c r="E14" s="153"/>
      <c r="F14" s="4"/>
      <c r="G14" s="156" t="s">
        <v>258</v>
      </c>
      <c r="H14" s="156"/>
      <c r="I14" s="156"/>
      <c r="J14" s="156"/>
    </row>
    <row r="15" spans="1:10" ht="36" customHeight="1">
      <c r="A15" s="136" t="s">
        <v>271</v>
      </c>
      <c r="B15" s="136"/>
      <c r="C15" s="136"/>
      <c r="D15" s="136"/>
      <c r="E15" s="136"/>
      <c r="F15" s="4"/>
      <c r="G15" s="47"/>
      <c r="H15" s="41"/>
      <c r="I15" s="41"/>
      <c r="J15" s="4"/>
    </row>
    <row r="16" spans="1:10" ht="14.25" customHeight="1">
      <c r="A16" t="s">
        <v>250</v>
      </c>
      <c r="C16" s="157" t="s">
        <v>268</v>
      </c>
      <c r="D16" s="154"/>
      <c r="E16" s="154"/>
    </row>
    <row r="17" spans="1:13" ht="19.5">
      <c r="E17" s="18" t="s">
        <v>90</v>
      </c>
    </row>
    <row r="18" spans="1:13" ht="19.5">
      <c r="E18" s="18" t="s">
        <v>96</v>
      </c>
    </row>
    <row r="19" spans="1:13" ht="18" customHeight="1">
      <c r="B19" s="20" t="s">
        <v>122</v>
      </c>
      <c r="C19" s="34"/>
      <c r="D19" s="18"/>
      <c r="E19" s="154">
        <v>43101</v>
      </c>
      <c r="F19" s="154"/>
      <c r="G19" s="154"/>
    </row>
    <row r="21" spans="1:13" ht="15.75">
      <c r="E21" s="19" t="s">
        <v>65</v>
      </c>
    </row>
    <row r="22" spans="1:13" ht="15.75">
      <c r="C22" s="28" t="s">
        <v>66</v>
      </c>
    </row>
    <row r="24" spans="1:13" s="69" customFormat="1">
      <c r="A24" s="137" t="s">
        <v>0</v>
      </c>
      <c r="B24" s="146" t="s">
        <v>63</v>
      </c>
      <c r="C24" s="146" t="s">
        <v>108</v>
      </c>
      <c r="D24" s="137" t="s">
        <v>109</v>
      </c>
      <c r="E24" s="138"/>
      <c r="F24" s="139"/>
      <c r="G24" s="137" t="s">
        <v>1</v>
      </c>
      <c r="H24" s="138"/>
      <c r="I24" s="139"/>
      <c r="J24" s="139" t="s">
        <v>2</v>
      </c>
    </row>
    <row r="25" spans="1:13" s="69" customFormat="1">
      <c r="A25" s="155"/>
      <c r="B25" s="147"/>
      <c r="C25" s="147"/>
      <c r="D25" s="140"/>
      <c r="E25" s="141"/>
      <c r="F25" s="142"/>
      <c r="G25" s="140"/>
      <c r="H25" s="141"/>
      <c r="I25" s="142"/>
      <c r="J25" s="158"/>
    </row>
    <row r="26" spans="1:13" s="69" customFormat="1" ht="12.75" customHeight="1">
      <c r="A26" s="155"/>
      <c r="B26" s="147"/>
      <c r="C26" s="147"/>
      <c r="D26" s="149" t="s">
        <v>3</v>
      </c>
      <c r="E26" s="150"/>
      <c r="F26" s="146" t="s">
        <v>220</v>
      </c>
      <c r="G26" s="149" t="s">
        <v>3</v>
      </c>
      <c r="H26" s="150"/>
      <c r="I26" s="146" t="s">
        <v>220</v>
      </c>
      <c r="J26" s="158"/>
    </row>
    <row r="27" spans="1:13" s="69" customFormat="1">
      <c r="A27" s="155"/>
      <c r="B27" s="147"/>
      <c r="C27" s="147"/>
      <c r="D27" s="143" t="s">
        <v>110</v>
      </c>
      <c r="E27" s="143" t="s">
        <v>111</v>
      </c>
      <c r="F27" s="147"/>
      <c r="G27" s="143" t="s">
        <v>110</v>
      </c>
      <c r="H27" s="143" t="s">
        <v>111</v>
      </c>
      <c r="I27" s="147"/>
      <c r="J27" s="158"/>
    </row>
    <row r="28" spans="1:13" s="69" customFormat="1" ht="24.75" customHeight="1">
      <c r="A28" s="155"/>
      <c r="B28" s="147"/>
      <c r="C28" s="147"/>
      <c r="D28" s="144"/>
      <c r="E28" s="144"/>
      <c r="F28" s="147"/>
      <c r="G28" s="151"/>
      <c r="H28" s="144"/>
      <c r="I28" s="147"/>
      <c r="J28" s="158"/>
    </row>
    <row r="29" spans="1:13" s="69" customFormat="1">
      <c r="A29" s="140"/>
      <c r="B29" s="148"/>
      <c r="C29" s="148"/>
      <c r="D29" s="145"/>
      <c r="E29" s="145"/>
      <c r="F29" s="148"/>
      <c r="G29" s="152"/>
      <c r="H29" s="145"/>
      <c r="I29" s="148"/>
      <c r="J29" s="158"/>
    </row>
    <row r="30" spans="1:13" s="69" customFormat="1" ht="13.5" thickBot="1">
      <c r="A30" s="87">
        <v>1</v>
      </c>
      <c r="B30" s="88">
        <v>2</v>
      </c>
      <c r="C30" s="87">
        <v>3</v>
      </c>
      <c r="D30" s="87">
        <v>4</v>
      </c>
      <c r="E30" s="87">
        <v>5</v>
      </c>
      <c r="F30" s="87">
        <v>6</v>
      </c>
      <c r="G30" s="87">
        <v>7</v>
      </c>
      <c r="H30" s="87">
        <v>8</v>
      </c>
      <c r="I30" s="87">
        <v>9</v>
      </c>
      <c r="J30" s="87">
        <v>10</v>
      </c>
    </row>
    <row r="31" spans="1:13" s="69" customFormat="1" ht="114.75">
      <c r="A31" s="89" t="s">
        <v>112</v>
      </c>
      <c r="B31" s="90" t="s">
        <v>36</v>
      </c>
      <c r="C31" s="91"/>
      <c r="D31" s="92">
        <f t="shared" ref="D31:G31" si="0">D32+D33-D34</f>
        <v>419</v>
      </c>
      <c r="E31" s="92">
        <f t="shared" si="0"/>
        <v>19755103</v>
      </c>
      <c r="F31" s="93">
        <f t="shared" si="0"/>
        <v>1982350.9492200003</v>
      </c>
      <c r="G31" s="92">
        <f t="shared" si="0"/>
        <v>1460</v>
      </c>
      <c r="H31" s="92">
        <f>H32+H33-H34</f>
        <v>111024514</v>
      </c>
      <c r="I31" s="93">
        <f>I32+I33-I34</f>
        <v>10676214.352699999</v>
      </c>
      <c r="J31" s="80"/>
      <c r="M31" s="81"/>
    </row>
    <row r="32" spans="1:13" s="69" customFormat="1">
      <c r="A32" s="62" t="s">
        <v>4</v>
      </c>
      <c r="B32" s="62"/>
      <c r="C32" s="68" t="s">
        <v>114</v>
      </c>
      <c r="D32" s="94">
        <f>D50+D72+D106+D136+D150+D164</f>
        <v>241</v>
      </c>
      <c r="E32" s="94">
        <f t="shared" ref="E32:F32" si="1">E50+E72+E106+E136+E150+E164</f>
        <v>10003524</v>
      </c>
      <c r="F32" s="95">
        <f t="shared" si="1"/>
        <v>1469762.5899100003</v>
      </c>
      <c r="G32" s="94">
        <f>G50+G72+G106+G136+G150+G164</f>
        <v>805</v>
      </c>
      <c r="H32" s="94">
        <f>H50+H72+H106+H136+H150+H164</f>
        <v>78944322</v>
      </c>
      <c r="I32" s="95">
        <f>I36+I50+I72+I106+I136+I150+I164</f>
        <v>8590669.1968899984</v>
      </c>
      <c r="J32" s="62"/>
    </row>
    <row r="33" spans="1:10" s="69" customFormat="1">
      <c r="A33" s="62" t="s">
        <v>5</v>
      </c>
      <c r="B33" s="62"/>
      <c r="C33" s="68" t="s">
        <v>115</v>
      </c>
      <c r="D33" s="94">
        <f>D51+D73+D107+D142+D156+D170</f>
        <v>178</v>
      </c>
      <c r="E33" s="94">
        <f t="shared" ref="E33:F33" si="2">E51+E73+E107+E142+E156+E170</f>
        <v>9751579</v>
      </c>
      <c r="F33" s="95">
        <f t="shared" si="2"/>
        <v>512588.35930999997</v>
      </c>
      <c r="G33" s="94">
        <f>G51+G73+G107+G142+G156+G170</f>
        <v>657</v>
      </c>
      <c r="H33" s="94">
        <f>H51+H73+H107+H142+H156+H170</f>
        <v>32080296</v>
      </c>
      <c r="I33" s="95">
        <f>I51+I73+I107+I142+I156+I170</f>
        <v>2280589.9458099999</v>
      </c>
      <c r="J33" s="62"/>
    </row>
    <row r="34" spans="1:10" s="69" customFormat="1">
      <c r="A34" s="62" t="s">
        <v>132</v>
      </c>
      <c r="B34" s="62"/>
      <c r="C34" s="68" t="s">
        <v>39</v>
      </c>
      <c r="D34" s="94">
        <f t="shared" ref="D34:F34" si="3">D52+D74+D108+D148+D162+D176</f>
        <v>0</v>
      </c>
      <c r="E34" s="94">
        <f t="shared" si="3"/>
        <v>0</v>
      </c>
      <c r="F34" s="96">
        <f t="shared" si="3"/>
        <v>0</v>
      </c>
      <c r="G34" s="94">
        <f>G52+G74+G108+G148+G162+G176</f>
        <v>2</v>
      </c>
      <c r="H34" s="94">
        <f>H52+H74+H108+H148+H162+H176</f>
        <v>104</v>
      </c>
      <c r="I34" s="96">
        <f>I52+I74+I108+I148+I162+I176</f>
        <v>195044.79</v>
      </c>
      <c r="J34" s="62"/>
    </row>
    <row r="35" spans="1:10" s="69" customFormat="1" ht="63.75">
      <c r="A35" s="97" t="s">
        <v>137</v>
      </c>
      <c r="B35" s="84" t="s">
        <v>6</v>
      </c>
      <c r="C35" s="98"/>
      <c r="D35" s="64">
        <f t="shared" ref="D35:I35" si="4">D36+D42-D48</f>
        <v>0</v>
      </c>
      <c r="E35" s="64">
        <f t="shared" si="4"/>
        <v>0</v>
      </c>
      <c r="F35" s="65">
        <f t="shared" si="4"/>
        <v>0</v>
      </c>
      <c r="G35" s="64">
        <f t="shared" si="4"/>
        <v>0</v>
      </c>
      <c r="H35" s="64">
        <f t="shared" si="4"/>
        <v>0</v>
      </c>
      <c r="I35" s="65">
        <f t="shared" si="4"/>
        <v>0</v>
      </c>
      <c r="J35" s="64"/>
    </row>
    <row r="36" spans="1:10" s="69" customFormat="1">
      <c r="A36" s="62" t="s">
        <v>4</v>
      </c>
      <c r="B36" s="62"/>
      <c r="C36" s="68" t="s">
        <v>114</v>
      </c>
      <c r="D36" s="62"/>
      <c r="E36" s="62"/>
      <c r="F36" s="63"/>
      <c r="G36" s="62"/>
      <c r="H36" s="62"/>
      <c r="I36" s="63"/>
      <c r="J36" s="62"/>
    </row>
    <row r="37" spans="1:10" s="69" customFormat="1" ht="51">
      <c r="A37" s="97" t="s">
        <v>146</v>
      </c>
      <c r="B37" s="62"/>
      <c r="C37" s="68" t="s">
        <v>224</v>
      </c>
      <c r="D37" s="62" t="s">
        <v>136</v>
      </c>
      <c r="E37" s="62" t="s">
        <v>136</v>
      </c>
      <c r="F37" s="63" t="s">
        <v>136</v>
      </c>
      <c r="G37" s="62" t="s">
        <v>136</v>
      </c>
      <c r="H37" s="62" t="s">
        <v>136</v>
      </c>
      <c r="I37" s="63" t="s">
        <v>136</v>
      </c>
      <c r="J37" s="62" t="s">
        <v>136</v>
      </c>
    </row>
    <row r="38" spans="1:10" s="69" customFormat="1" ht="38.25">
      <c r="A38" s="97" t="s">
        <v>138</v>
      </c>
      <c r="B38" s="62"/>
      <c r="C38" s="68" t="s">
        <v>139</v>
      </c>
      <c r="D38" s="62"/>
      <c r="E38" s="62"/>
      <c r="F38" s="63"/>
      <c r="G38" s="62"/>
      <c r="H38" s="62"/>
      <c r="I38" s="63"/>
      <c r="J38" s="62"/>
    </row>
    <row r="39" spans="1:10" s="69" customFormat="1" ht="38.25">
      <c r="A39" s="97" t="s">
        <v>140</v>
      </c>
      <c r="B39" s="62"/>
      <c r="C39" s="68" t="s">
        <v>143</v>
      </c>
      <c r="D39" s="62"/>
      <c r="E39" s="62"/>
      <c r="F39" s="63"/>
      <c r="G39" s="62"/>
      <c r="H39" s="62"/>
      <c r="I39" s="63"/>
      <c r="J39" s="62"/>
    </row>
    <row r="40" spans="1:10" s="69" customFormat="1" ht="38.25">
      <c r="A40" s="97" t="s">
        <v>141</v>
      </c>
      <c r="B40" s="62"/>
      <c r="C40" s="68" t="s">
        <v>144</v>
      </c>
      <c r="D40" s="62"/>
      <c r="E40" s="62"/>
      <c r="F40" s="63"/>
      <c r="G40" s="62"/>
      <c r="H40" s="62"/>
      <c r="I40" s="63"/>
      <c r="J40" s="62"/>
    </row>
    <row r="41" spans="1:10" s="69" customFormat="1" ht="38.25">
      <c r="A41" s="97" t="s">
        <v>142</v>
      </c>
      <c r="B41" s="62"/>
      <c r="C41" s="68" t="s">
        <v>145</v>
      </c>
      <c r="D41" s="62"/>
      <c r="E41" s="62"/>
      <c r="F41" s="63"/>
      <c r="G41" s="62"/>
      <c r="H41" s="62"/>
      <c r="I41" s="63"/>
      <c r="J41" s="62"/>
    </row>
    <row r="42" spans="1:10" s="69" customFormat="1">
      <c r="A42" s="62" t="s">
        <v>5</v>
      </c>
      <c r="B42" s="62"/>
      <c r="C42" s="68" t="s">
        <v>115</v>
      </c>
      <c r="D42" s="62"/>
      <c r="E42" s="62"/>
      <c r="F42" s="63"/>
      <c r="G42" s="62"/>
      <c r="H42" s="62"/>
      <c r="I42" s="63"/>
      <c r="J42" s="62"/>
    </row>
    <row r="43" spans="1:10" s="69" customFormat="1" ht="51">
      <c r="A43" s="97" t="s">
        <v>146</v>
      </c>
      <c r="B43" s="62"/>
      <c r="C43" s="68" t="s">
        <v>225</v>
      </c>
      <c r="D43" s="62" t="s">
        <v>136</v>
      </c>
      <c r="E43" s="62" t="s">
        <v>136</v>
      </c>
      <c r="F43" s="63" t="s">
        <v>136</v>
      </c>
      <c r="G43" s="62" t="s">
        <v>136</v>
      </c>
      <c r="H43" s="62" t="s">
        <v>136</v>
      </c>
      <c r="I43" s="63" t="s">
        <v>136</v>
      </c>
      <c r="J43" s="62" t="s">
        <v>136</v>
      </c>
    </row>
    <row r="44" spans="1:10" s="69" customFormat="1" ht="38.25">
      <c r="A44" s="97" t="s">
        <v>138</v>
      </c>
      <c r="B44" s="62"/>
      <c r="C44" s="68" t="s">
        <v>147</v>
      </c>
      <c r="D44" s="62"/>
      <c r="E44" s="62"/>
      <c r="F44" s="63"/>
      <c r="G44" s="62"/>
      <c r="H44" s="62"/>
      <c r="I44" s="63"/>
      <c r="J44" s="62"/>
    </row>
    <row r="45" spans="1:10" s="69" customFormat="1" ht="38.25">
      <c r="A45" s="97" t="s">
        <v>140</v>
      </c>
      <c r="B45" s="62"/>
      <c r="C45" s="68" t="s">
        <v>148</v>
      </c>
      <c r="D45" s="62"/>
      <c r="E45" s="62"/>
      <c r="F45" s="63"/>
      <c r="G45" s="62"/>
      <c r="H45" s="62"/>
      <c r="I45" s="63"/>
      <c r="J45" s="62"/>
    </row>
    <row r="46" spans="1:10" s="69" customFormat="1" ht="38.25">
      <c r="A46" s="97" t="s">
        <v>141</v>
      </c>
      <c r="B46" s="62"/>
      <c r="C46" s="68" t="s">
        <v>149</v>
      </c>
      <c r="D46" s="62"/>
      <c r="E46" s="62"/>
      <c r="F46" s="63"/>
      <c r="G46" s="62"/>
      <c r="H46" s="62"/>
      <c r="I46" s="63"/>
      <c r="J46" s="62"/>
    </row>
    <row r="47" spans="1:10" s="69" customFormat="1" ht="38.25">
      <c r="A47" s="97" t="s">
        <v>142</v>
      </c>
      <c r="B47" s="62"/>
      <c r="C47" s="68" t="s">
        <v>150</v>
      </c>
      <c r="D47" s="62"/>
      <c r="E47" s="62"/>
      <c r="F47" s="63"/>
      <c r="G47" s="62"/>
      <c r="H47" s="62"/>
      <c r="I47" s="63"/>
      <c r="J47" s="62"/>
    </row>
    <row r="48" spans="1:10" s="69" customFormat="1">
      <c r="A48" s="62" t="s">
        <v>132</v>
      </c>
      <c r="B48" s="62"/>
      <c r="C48" s="68" t="s">
        <v>39</v>
      </c>
      <c r="D48" s="99"/>
      <c r="E48" s="99"/>
      <c r="F48" s="100"/>
      <c r="G48" s="99"/>
      <c r="H48" s="99"/>
      <c r="I48" s="100"/>
      <c r="J48" s="99"/>
    </row>
    <row r="49" spans="1:13" s="69" customFormat="1">
      <c r="A49" s="101" t="s">
        <v>7</v>
      </c>
      <c r="B49" s="102" t="s">
        <v>113</v>
      </c>
      <c r="C49" s="103"/>
      <c r="D49" s="104">
        <f t="shared" ref="D49:I49" si="5">D50+D51-D52</f>
        <v>16</v>
      </c>
      <c r="E49" s="104">
        <f t="shared" si="5"/>
        <v>19052</v>
      </c>
      <c r="F49" s="105">
        <f t="shared" si="5"/>
        <v>68.651139999999998</v>
      </c>
      <c r="G49" s="80">
        <f t="shared" si="5"/>
        <v>83</v>
      </c>
      <c r="H49" s="80">
        <f t="shared" si="5"/>
        <v>1254102</v>
      </c>
      <c r="I49" s="106">
        <f t="shared" si="5"/>
        <v>1738.8903400000002</v>
      </c>
      <c r="J49" s="80"/>
    </row>
    <row r="50" spans="1:13" s="69" customFormat="1">
      <c r="A50" s="107" t="s">
        <v>4</v>
      </c>
      <c r="B50" s="108"/>
      <c r="C50" s="68" t="s">
        <v>114</v>
      </c>
      <c r="D50" s="64">
        <f t="shared" ref="D50:E50" si="6">D53+D68</f>
        <v>9</v>
      </c>
      <c r="E50" s="64">
        <f t="shared" si="6"/>
        <v>1127</v>
      </c>
      <c r="F50" s="65">
        <f>F53+F68</f>
        <v>20.4374</v>
      </c>
      <c r="G50" s="64">
        <f>G53+G68</f>
        <v>58</v>
      </c>
      <c r="H50" s="64">
        <f>H53+H68</f>
        <v>8686</v>
      </c>
      <c r="I50" s="65">
        <f>I53+I68</f>
        <v>92.408299999999997</v>
      </c>
      <c r="J50" s="64"/>
      <c r="M50" s="81"/>
    </row>
    <row r="51" spans="1:13" s="69" customFormat="1">
      <c r="A51" s="107" t="s">
        <v>5</v>
      </c>
      <c r="B51" s="108"/>
      <c r="C51" s="68" t="s">
        <v>115</v>
      </c>
      <c r="D51" s="64">
        <f t="shared" ref="D51:F51" si="7">D69+D60</f>
        <v>7</v>
      </c>
      <c r="E51" s="64">
        <f t="shared" si="7"/>
        <v>17925</v>
      </c>
      <c r="F51" s="65">
        <f t="shared" si="7"/>
        <v>48.213740000000001</v>
      </c>
      <c r="G51" s="64">
        <f>G69+G60</f>
        <v>25</v>
      </c>
      <c r="H51" s="64">
        <f>H60+H69</f>
        <v>1245416</v>
      </c>
      <c r="I51" s="65">
        <f>I60+I69</f>
        <v>1646.4820400000001</v>
      </c>
      <c r="J51" s="64"/>
      <c r="M51" s="81"/>
    </row>
    <row r="52" spans="1:13" s="69" customFormat="1">
      <c r="A52" s="62" t="s">
        <v>132</v>
      </c>
      <c r="B52" s="62"/>
      <c r="C52" s="68" t="s">
        <v>39</v>
      </c>
      <c r="D52" s="79"/>
      <c r="E52" s="79"/>
      <c r="F52" s="109"/>
      <c r="G52" s="64">
        <f>G66+G70</f>
        <v>0</v>
      </c>
      <c r="H52" s="64">
        <f>H66+H70</f>
        <v>0</v>
      </c>
      <c r="I52" s="65">
        <f>I66+I70</f>
        <v>0</v>
      </c>
      <c r="J52" s="64"/>
    </row>
    <row r="53" spans="1:13" s="69" customFormat="1" ht="63.75">
      <c r="A53" s="97" t="s">
        <v>177</v>
      </c>
      <c r="B53" s="110" t="s">
        <v>8</v>
      </c>
      <c r="C53" s="98"/>
      <c r="D53" s="80">
        <f t="shared" ref="D53:I53" si="8">D54+D60-D66</f>
        <v>0</v>
      </c>
      <c r="E53" s="80">
        <f t="shared" si="8"/>
        <v>0</v>
      </c>
      <c r="F53" s="106">
        <f t="shared" si="8"/>
        <v>0</v>
      </c>
      <c r="G53" s="80">
        <f t="shared" si="8"/>
        <v>0</v>
      </c>
      <c r="H53" s="80">
        <f t="shared" si="8"/>
        <v>0</v>
      </c>
      <c r="I53" s="106">
        <f t="shared" si="8"/>
        <v>0</v>
      </c>
      <c r="J53" s="64"/>
    </row>
    <row r="54" spans="1:13" s="69" customFormat="1">
      <c r="A54" s="97" t="s">
        <v>4</v>
      </c>
      <c r="B54" s="110"/>
      <c r="C54" s="68" t="s">
        <v>114</v>
      </c>
      <c r="D54" s="64"/>
      <c r="E54" s="64"/>
      <c r="F54" s="65"/>
      <c r="G54" s="64"/>
      <c r="H54" s="64"/>
      <c r="I54" s="65"/>
      <c r="J54" s="64"/>
    </row>
    <row r="55" spans="1:13" s="69" customFormat="1" ht="25.5">
      <c r="A55" s="97" t="s">
        <v>151</v>
      </c>
      <c r="B55" s="62"/>
      <c r="C55" s="68" t="s">
        <v>224</v>
      </c>
      <c r="D55" s="62" t="s">
        <v>136</v>
      </c>
      <c r="E55" s="62" t="s">
        <v>136</v>
      </c>
      <c r="F55" s="63" t="s">
        <v>136</v>
      </c>
      <c r="G55" s="62" t="s">
        <v>136</v>
      </c>
      <c r="H55" s="62" t="s">
        <v>136</v>
      </c>
      <c r="I55" s="63" t="s">
        <v>136</v>
      </c>
      <c r="J55" s="62" t="s">
        <v>136</v>
      </c>
    </row>
    <row r="56" spans="1:13" s="69" customFormat="1" ht="38.25">
      <c r="A56" s="97" t="s">
        <v>138</v>
      </c>
      <c r="B56" s="62"/>
      <c r="C56" s="68" t="s">
        <v>139</v>
      </c>
      <c r="D56" s="62"/>
      <c r="E56" s="62"/>
      <c r="F56" s="63"/>
      <c r="G56" s="62"/>
      <c r="H56" s="62"/>
      <c r="I56" s="63"/>
      <c r="J56" s="62"/>
    </row>
    <row r="57" spans="1:13" s="69" customFormat="1" ht="38.25">
      <c r="A57" s="97" t="s">
        <v>140</v>
      </c>
      <c r="B57" s="62"/>
      <c r="C57" s="68" t="s">
        <v>143</v>
      </c>
      <c r="D57" s="62"/>
      <c r="E57" s="62"/>
      <c r="F57" s="63"/>
      <c r="G57" s="62"/>
      <c r="H57" s="62"/>
      <c r="I57" s="63"/>
      <c r="J57" s="62"/>
    </row>
    <row r="58" spans="1:13" s="69" customFormat="1" ht="38.25">
      <c r="A58" s="97" t="s">
        <v>141</v>
      </c>
      <c r="B58" s="62"/>
      <c r="C58" s="68" t="s">
        <v>144</v>
      </c>
      <c r="D58" s="62"/>
      <c r="E58" s="62"/>
      <c r="F58" s="63"/>
      <c r="G58" s="62"/>
      <c r="H58" s="62"/>
      <c r="I58" s="63"/>
      <c r="J58" s="62"/>
    </row>
    <row r="59" spans="1:13" s="69" customFormat="1" ht="38.25">
      <c r="A59" s="97" t="s">
        <v>142</v>
      </c>
      <c r="B59" s="62"/>
      <c r="C59" s="68" t="s">
        <v>145</v>
      </c>
      <c r="D59" s="62"/>
      <c r="E59" s="62"/>
      <c r="F59" s="63"/>
      <c r="G59" s="62"/>
      <c r="H59" s="62"/>
      <c r="I59" s="63"/>
      <c r="J59" s="62"/>
    </row>
    <row r="60" spans="1:13" s="69" customFormat="1">
      <c r="A60" s="97" t="s">
        <v>5</v>
      </c>
      <c r="B60" s="110"/>
      <c r="C60" s="68" t="s">
        <v>115</v>
      </c>
      <c r="D60" s="64"/>
      <c r="E60" s="64"/>
      <c r="F60" s="65"/>
      <c r="G60" s="64"/>
      <c r="H60" s="64"/>
      <c r="I60" s="65"/>
      <c r="J60" s="64"/>
    </row>
    <row r="61" spans="1:13" s="69" customFormat="1" ht="25.5">
      <c r="A61" s="97" t="s">
        <v>151</v>
      </c>
      <c r="B61" s="62"/>
      <c r="C61" s="68" t="s">
        <v>225</v>
      </c>
      <c r="D61" s="62" t="s">
        <v>136</v>
      </c>
      <c r="E61" s="62" t="s">
        <v>136</v>
      </c>
      <c r="F61" s="63" t="s">
        <v>136</v>
      </c>
      <c r="G61" s="62" t="s">
        <v>136</v>
      </c>
      <c r="H61" s="62" t="s">
        <v>136</v>
      </c>
      <c r="I61" s="63" t="s">
        <v>136</v>
      </c>
      <c r="J61" s="62" t="s">
        <v>136</v>
      </c>
    </row>
    <row r="62" spans="1:13" s="69" customFormat="1" ht="38.25">
      <c r="A62" s="97" t="s">
        <v>138</v>
      </c>
      <c r="B62" s="62"/>
      <c r="C62" s="68" t="s">
        <v>147</v>
      </c>
      <c r="D62" s="62"/>
      <c r="E62" s="62"/>
      <c r="F62" s="63"/>
      <c r="G62" s="62"/>
      <c r="H62" s="62"/>
      <c r="I62" s="63"/>
      <c r="J62" s="62"/>
    </row>
    <row r="63" spans="1:13" s="69" customFormat="1" ht="38.25">
      <c r="A63" s="97" t="s">
        <v>140</v>
      </c>
      <c r="B63" s="62"/>
      <c r="C63" s="68" t="s">
        <v>148</v>
      </c>
      <c r="D63" s="62"/>
      <c r="E63" s="62"/>
      <c r="F63" s="63"/>
      <c r="G63" s="62"/>
      <c r="H63" s="62"/>
      <c r="I63" s="63"/>
      <c r="J63" s="62"/>
    </row>
    <row r="64" spans="1:13" s="69" customFormat="1" ht="38.25">
      <c r="A64" s="97" t="s">
        <v>141</v>
      </c>
      <c r="B64" s="62"/>
      <c r="C64" s="68" t="s">
        <v>149</v>
      </c>
      <c r="D64" s="62"/>
      <c r="E64" s="62"/>
      <c r="F64" s="63"/>
      <c r="G64" s="62"/>
      <c r="H64" s="62"/>
      <c r="I64" s="63"/>
      <c r="J64" s="62"/>
    </row>
    <row r="65" spans="1:14" s="69" customFormat="1" ht="38.25">
      <c r="A65" s="97" t="s">
        <v>142</v>
      </c>
      <c r="B65" s="62"/>
      <c r="C65" s="68" t="s">
        <v>150</v>
      </c>
      <c r="D65" s="62"/>
      <c r="E65" s="62"/>
      <c r="F65" s="63"/>
      <c r="G65" s="62"/>
      <c r="H65" s="62"/>
      <c r="I65" s="63"/>
      <c r="J65" s="62"/>
    </row>
    <row r="66" spans="1:14" s="69" customFormat="1">
      <c r="A66" s="62" t="s">
        <v>132</v>
      </c>
      <c r="B66" s="62"/>
      <c r="C66" s="68" t="s">
        <v>39</v>
      </c>
      <c r="D66" s="64"/>
      <c r="E66" s="64"/>
      <c r="F66" s="65"/>
      <c r="G66" s="64"/>
      <c r="H66" s="64"/>
      <c r="I66" s="65"/>
      <c r="J66" s="64"/>
    </row>
    <row r="67" spans="1:14" s="69" customFormat="1" ht="38.25">
      <c r="A67" s="97" t="s">
        <v>152</v>
      </c>
      <c r="B67" s="110" t="s">
        <v>9</v>
      </c>
      <c r="C67" s="98"/>
      <c r="D67" s="80">
        <f t="shared" ref="D67:I67" si="9">D68+D69-D70</f>
        <v>16</v>
      </c>
      <c r="E67" s="80">
        <f t="shared" si="9"/>
        <v>19052</v>
      </c>
      <c r="F67" s="106">
        <f t="shared" si="9"/>
        <v>68.651139999999998</v>
      </c>
      <c r="G67" s="104">
        <f t="shared" si="9"/>
        <v>83</v>
      </c>
      <c r="H67" s="104">
        <f t="shared" si="9"/>
        <v>1254102</v>
      </c>
      <c r="I67" s="105">
        <f t="shared" si="9"/>
        <v>1738.8903400000002</v>
      </c>
      <c r="J67" s="64"/>
    </row>
    <row r="68" spans="1:14" s="69" customFormat="1">
      <c r="A68" s="97" t="s">
        <v>4</v>
      </c>
      <c r="B68" s="98"/>
      <c r="C68" s="68" t="s">
        <v>114</v>
      </c>
      <c r="D68" s="64">
        <v>9</v>
      </c>
      <c r="E68" s="64">
        <v>1127</v>
      </c>
      <c r="F68" s="65">
        <v>20.4374</v>
      </c>
      <c r="G68" s="79">
        <f>39+10+D68</f>
        <v>58</v>
      </c>
      <c r="H68" s="79">
        <f>4941+2618+E68</f>
        <v>8686</v>
      </c>
      <c r="I68" s="109">
        <f>45.5524+26.4185+F68</f>
        <v>92.408299999999997</v>
      </c>
      <c r="J68" s="64"/>
      <c r="M68" s="81"/>
    </row>
    <row r="69" spans="1:14" s="69" customFormat="1">
      <c r="A69" s="97" t="s">
        <v>5</v>
      </c>
      <c r="B69" s="98"/>
      <c r="C69" s="68" t="s">
        <v>115</v>
      </c>
      <c r="D69" s="64">
        <f>6+1</f>
        <v>7</v>
      </c>
      <c r="E69" s="64">
        <f>17493+432</f>
        <v>17925</v>
      </c>
      <c r="F69" s="65">
        <f>5.01374+43.2</f>
        <v>48.213740000000001</v>
      </c>
      <c r="G69" s="79">
        <f>3+15+D69</f>
        <v>25</v>
      </c>
      <c r="H69" s="79">
        <f>395373+832118+E69</f>
        <v>1245416</v>
      </c>
      <c r="I69" s="109">
        <f>513.9849+1084.2834+F69</f>
        <v>1646.4820400000001</v>
      </c>
      <c r="J69" s="64"/>
      <c r="M69" s="81"/>
    </row>
    <row r="70" spans="1:14" s="69" customFormat="1">
      <c r="A70" s="62" t="s">
        <v>132</v>
      </c>
      <c r="B70" s="62"/>
      <c r="C70" s="68" t="s">
        <v>39</v>
      </c>
      <c r="D70" s="64"/>
      <c r="E70" s="64"/>
      <c r="F70" s="65"/>
      <c r="G70" s="79">
        <f>0+D70</f>
        <v>0</v>
      </c>
      <c r="H70" s="79">
        <f>0+E70</f>
        <v>0</v>
      </c>
      <c r="I70" s="109">
        <f>0+F70</f>
        <v>0</v>
      </c>
      <c r="J70" s="64"/>
    </row>
    <row r="71" spans="1:14" s="69" customFormat="1" ht="25.5">
      <c r="A71" s="97" t="s">
        <v>10</v>
      </c>
      <c r="B71" s="98" t="s">
        <v>116</v>
      </c>
      <c r="C71" s="98"/>
      <c r="D71" s="94">
        <f t="shared" ref="D71:I71" si="10">D72+D73-D74</f>
        <v>393</v>
      </c>
      <c r="E71" s="94">
        <f t="shared" si="10"/>
        <v>19720151</v>
      </c>
      <c r="F71" s="95">
        <f t="shared" si="10"/>
        <v>1949788.0180800003</v>
      </c>
      <c r="G71" s="94">
        <f t="shared" si="10"/>
        <v>1367</v>
      </c>
      <c r="H71" s="94">
        <f t="shared" si="10"/>
        <v>109754512</v>
      </c>
      <c r="I71" s="95">
        <f t="shared" si="10"/>
        <v>10641981.182360001</v>
      </c>
      <c r="J71" s="64"/>
    </row>
    <row r="72" spans="1:14" s="69" customFormat="1">
      <c r="A72" s="97" t="s">
        <v>4</v>
      </c>
      <c r="B72" s="98"/>
      <c r="C72" s="68" t="s">
        <v>114</v>
      </c>
      <c r="D72" s="64">
        <f t="shared" ref="D72:I72" si="11">D76+D80+D84+D88+D92</f>
        <v>222</v>
      </c>
      <c r="E72" s="64">
        <f t="shared" si="11"/>
        <v>9986497</v>
      </c>
      <c r="F72" s="64">
        <f t="shared" si="11"/>
        <v>1437247.8725100004</v>
      </c>
      <c r="G72" s="64">
        <f t="shared" si="11"/>
        <v>737</v>
      </c>
      <c r="H72" s="64">
        <f t="shared" si="11"/>
        <v>78919736</v>
      </c>
      <c r="I72" s="111">
        <f t="shared" si="11"/>
        <v>8558082.5085899998</v>
      </c>
      <c r="J72" s="64"/>
    </row>
    <row r="73" spans="1:14" s="69" customFormat="1">
      <c r="A73" s="97" t="s">
        <v>5</v>
      </c>
      <c r="B73" s="98"/>
      <c r="C73" s="68" t="s">
        <v>115</v>
      </c>
      <c r="D73" s="64">
        <f t="shared" ref="D73:H73" si="12">D77+D81+D85+D89+D98</f>
        <v>171</v>
      </c>
      <c r="E73" s="64">
        <f t="shared" si="12"/>
        <v>9733654</v>
      </c>
      <c r="F73" s="64">
        <f t="shared" si="12"/>
        <v>512540.14556999999</v>
      </c>
      <c r="G73" s="64">
        <f t="shared" si="12"/>
        <v>632</v>
      </c>
      <c r="H73" s="64">
        <f t="shared" si="12"/>
        <v>30834880</v>
      </c>
      <c r="I73" s="111">
        <f>I77+I81+I85+I89+I98</f>
        <v>2278943.4637699998</v>
      </c>
      <c r="J73" s="64"/>
    </row>
    <row r="74" spans="1:14" s="69" customFormat="1">
      <c r="A74" s="62" t="s">
        <v>132</v>
      </c>
      <c r="B74" s="62"/>
      <c r="C74" s="68" t="s">
        <v>39</v>
      </c>
      <c r="D74" s="64">
        <f t="shared" ref="D74:I74" si="13">D78+D82+D86+D90+D104</f>
        <v>0</v>
      </c>
      <c r="E74" s="64">
        <f t="shared" si="13"/>
        <v>0</v>
      </c>
      <c r="F74" s="64">
        <f t="shared" si="13"/>
        <v>0</v>
      </c>
      <c r="G74" s="64">
        <f t="shared" si="13"/>
        <v>2</v>
      </c>
      <c r="H74" s="64">
        <f t="shared" si="13"/>
        <v>104</v>
      </c>
      <c r="I74" s="64">
        <f t="shared" si="13"/>
        <v>195044.79</v>
      </c>
      <c r="J74" s="64"/>
    </row>
    <row r="75" spans="1:14" s="69" customFormat="1" ht="38.25">
      <c r="A75" s="97" t="s">
        <v>37</v>
      </c>
      <c r="B75" s="98" t="s">
        <v>11</v>
      </c>
      <c r="C75" s="112"/>
      <c r="D75" s="80">
        <f t="shared" ref="D75:I75" si="14">D76+D77-D78</f>
        <v>171</v>
      </c>
      <c r="E75" s="80">
        <f t="shared" si="14"/>
        <v>13607341</v>
      </c>
      <c r="F75" s="106">
        <f>F76+F77-F78</f>
        <v>268007.97713000001</v>
      </c>
      <c r="G75" s="104">
        <f t="shared" si="14"/>
        <v>646</v>
      </c>
      <c r="H75" s="104">
        <f>H76+H77-H78</f>
        <v>37451709</v>
      </c>
      <c r="I75" s="105">
        <f t="shared" si="14"/>
        <v>2149881.0802600002</v>
      </c>
      <c r="J75" s="79"/>
    </row>
    <row r="76" spans="1:14" s="69" customFormat="1">
      <c r="A76" s="97" t="s">
        <v>4</v>
      </c>
      <c r="B76" s="98"/>
      <c r="C76" s="68" t="s">
        <v>114</v>
      </c>
      <c r="D76" s="64">
        <f>52+39+12</f>
        <v>103</v>
      </c>
      <c r="E76" s="64">
        <f>6698232+173951+20723</f>
        <v>6892906</v>
      </c>
      <c r="F76" s="65">
        <f>48447.30296+73186.3+46051.09</f>
        <v>167684.69296000001</v>
      </c>
      <c r="G76" s="79">
        <f>159+86+D76</f>
        <v>348</v>
      </c>
      <c r="H76" s="79">
        <f>8195692+41887+E76</f>
        <v>15130485</v>
      </c>
      <c r="I76" s="109">
        <f>86.878+156533.44+177415.82907+123502.59542+228009.29+370820.01+75200.56226+F76</f>
        <v>1299253.2977100001</v>
      </c>
      <c r="J76" s="66"/>
      <c r="N76" s="81"/>
    </row>
    <row r="77" spans="1:14" s="69" customFormat="1" ht="114" customHeight="1">
      <c r="A77" s="97" t="s">
        <v>5</v>
      </c>
      <c r="B77" s="98"/>
      <c r="C77" s="68" t="s">
        <v>115</v>
      </c>
      <c r="D77" s="64">
        <f>24+37+7</f>
        <v>68</v>
      </c>
      <c r="E77" s="64">
        <f>6697845+16520+70</f>
        <v>6714435</v>
      </c>
      <c r="F77" s="65">
        <f>47685.25417+52489.21+148.82</f>
        <v>100323.28417</v>
      </c>
      <c r="G77" s="79">
        <f>106+126+D77</f>
        <v>300</v>
      </c>
      <c r="H77" s="79">
        <f>11841336+3765557+E77</f>
        <v>22321328</v>
      </c>
      <c r="I77" s="109">
        <f>28.673+143817.9+188641.8238+26460+152824.05721+17640+49034.6+212019.3+154882.93437+F77</f>
        <v>1045672.5725499999</v>
      </c>
      <c r="J77" s="113" t="s">
        <v>276</v>
      </c>
      <c r="N77" s="81"/>
    </row>
    <row r="78" spans="1:14" s="69" customFormat="1">
      <c r="A78" s="62" t="s">
        <v>132</v>
      </c>
      <c r="B78" s="62"/>
      <c r="C78" s="68" t="s">
        <v>39</v>
      </c>
      <c r="D78" s="64"/>
      <c r="E78" s="64"/>
      <c r="F78" s="65"/>
      <c r="G78" s="79">
        <f>1+1+D78</f>
        <v>2</v>
      </c>
      <c r="H78" s="79">
        <f>100+4+E78</f>
        <v>104</v>
      </c>
      <c r="I78" s="109">
        <f>195036.64+8.15+F78</f>
        <v>195044.79</v>
      </c>
      <c r="J78" s="79"/>
    </row>
    <row r="79" spans="1:14" s="69" customFormat="1" ht="51">
      <c r="A79" s="97" t="s">
        <v>123</v>
      </c>
      <c r="B79" s="98" t="s">
        <v>12</v>
      </c>
      <c r="C79" s="112"/>
      <c r="D79" s="80">
        <f t="shared" ref="D79:H79" si="15">D80+D81-D82</f>
        <v>119</v>
      </c>
      <c r="E79" s="80">
        <f t="shared" si="15"/>
        <v>206906</v>
      </c>
      <c r="F79" s="106">
        <f t="shared" si="15"/>
        <v>1089573.1247700001</v>
      </c>
      <c r="G79" s="80">
        <f t="shared" si="15"/>
        <v>430</v>
      </c>
      <c r="H79" s="80">
        <f t="shared" si="15"/>
        <v>3175734</v>
      </c>
      <c r="I79" s="106">
        <f>I80+I81-I82</f>
        <v>6028365.3882900001</v>
      </c>
      <c r="J79" s="64"/>
      <c r="K79" s="82"/>
      <c r="L79" s="83"/>
      <c r="M79" s="81"/>
    </row>
    <row r="80" spans="1:14" s="69" customFormat="1">
      <c r="A80" s="97" t="s">
        <v>4</v>
      </c>
      <c r="B80" s="98"/>
      <c r="C80" s="68" t="s">
        <v>114</v>
      </c>
      <c r="D80" s="64">
        <f>1+61</f>
        <v>62</v>
      </c>
      <c r="E80" s="64">
        <f>51+146110</f>
        <v>146161</v>
      </c>
      <c r="F80" s="65">
        <f>118.96672+973162.37</f>
        <v>973281.33672000002</v>
      </c>
      <c r="G80" s="64">
        <f>112+74+D80</f>
        <v>248</v>
      </c>
      <c r="H80" s="64">
        <f>2536375+292046+E80</f>
        <v>2974582</v>
      </c>
      <c r="I80" s="65">
        <f>1371912.1+18219.16386+5347.38466+1206375.04+2103284.66+F80</f>
        <v>5678419.6852400005</v>
      </c>
      <c r="J80" s="66"/>
      <c r="N80" s="81"/>
    </row>
    <row r="81" spans="1:13" s="69" customFormat="1">
      <c r="A81" s="97" t="s">
        <v>5</v>
      </c>
      <c r="B81" s="98"/>
      <c r="C81" s="68" t="s">
        <v>115</v>
      </c>
      <c r="D81" s="64">
        <f>1+56</f>
        <v>57</v>
      </c>
      <c r="E81" s="64">
        <f>51+60694</f>
        <v>60745</v>
      </c>
      <c r="F81" s="65">
        <f>119.08805+116172.7</f>
        <v>116291.78805</v>
      </c>
      <c r="G81" s="64">
        <f>63+62+D81</f>
        <v>182</v>
      </c>
      <c r="H81" s="64">
        <f>54323+86084+E81</f>
        <v>201152</v>
      </c>
      <c r="I81" s="65">
        <f>21685.2+7862.67+3599.405+40623.82+159882.82+F81</f>
        <v>349945.70305000001</v>
      </c>
      <c r="J81" s="64"/>
      <c r="M81" s="81"/>
    </row>
    <row r="82" spans="1:13" s="69" customFormat="1">
      <c r="A82" s="62" t="s">
        <v>132</v>
      </c>
      <c r="B82" s="62"/>
      <c r="C82" s="68" t="s">
        <v>39</v>
      </c>
      <c r="D82" s="64"/>
      <c r="E82" s="64"/>
      <c r="F82" s="65"/>
      <c r="G82" s="64">
        <f>0+D82</f>
        <v>0</v>
      </c>
      <c r="H82" s="64">
        <f>0+E82</f>
        <v>0</v>
      </c>
      <c r="I82" s="65">
        <f>0+F82</f>
        <v>0</v>
      </c>
      <c r="J82" s="64"/>
    </row>
    <row r="83" spans="1:13" s="69" customFormat="1" ht="25.5">
      <c r="A83" s="97" t="s">
        <v>13</v>
      </c>
      <c r="B83" s="98" t="s">
        <v>14</v>
      </c>
      <c r="C83" s="112"/>
      <c r="D83" s="80">
        <f t="shared" ref="D83:I83" si="16">D84+D85-D86</f>
        <v>75</v>
      </c>
      <c r="E83" s="114">
        <f t="shared" si="16"/>
        <v>4500478</v>
      </c>
      <c r="F83" s="106">
        <f t="shared" si="16"/>
        <v>451413.35068999999</v>
      </c>
      <c r="G83" s="80">
        <f t="shared" si="16"/>
        <v>164</v>
      </c>
      <c r="H83" s="80">
        <f t="shared" si="16"/>
        <v>64343920</v>
      </c>
      <c r="I83" s="106">
        <f t="shared" si="16"/>
        <v>1935041.2906900002</v>
      </c>
      <c r="J83" s="64"/>
      <c r="K83" s="115"/>
    </row>
    <row r="84" spans="1:13" s="69" customFormat="1">
      <c r="A84" s="97" t="s">
        <v>4</v>
      </c>
      <c r="B84" s="98"/>
      <c r="C84" s="68" t="s">
        <v>114</v>
      </c>
      <c r="D84" s="64">
        <f>15+30</f>
        <v>45</v>
      </c>
      <c r="E84" s="116">
        <f>161632+2072707</f>
        <v>2234339</v>
      </c>
      <c r="F84" s="65">
        <f>16193.34069+208616.13</f>
        <v>224809.47069000002</v>
      </c>
      <c r="G84" s="64">
        <f>37+14+D84</f>
        <v>96</v>
      </c>
      <c r="H84" s="116">
        <f>54889082+1601360+E84</f>
        <v>58724781</v>
      </c>
      <c r="I84" s="65">
        <f>15566.52+850084.5+122291.49+161155.59+F84</f>
        <v>1373907.5706900002</v>
      </c>
      <c r="J84" s="64"/>
      <c r="L84" s="117"/>
    </row>
    <row r="85" spans="1:13" s="69" customFormat="1">
      <c r="A85" s="97" t="s">
        <v>5</v>
      </c>
      <c r="B85" s="98"/>
      <c r="C85" s="68" t="s">
        <v>115</v>
      </c>
      <c r="D85" s="64">
        <f>1+29</f>
        <v>30</v>
      </c>
      <c r="E85" s="64">
        <f>200000+2066139</f>
        <v>2266139</v>
      </c>
      <c r="F85" s="65">
        <f>20000+206603.88</f>
        <v>226603.88</v>
      </c>
      <c r="G85" s="64">
        <f>19+19+D85</f>
        <v>68</v>
      </c>
      <c r="H85" s="64">
        <f>1814387+1538613+E85</f>
        <v>5619139</v>
      </c>
      <c r="I85" s="65">
        <f>1264.46+1600+178164.85+153500.53+F85</f>
        <v>561133.72</v>
      </c>
      <c r="J85" s="64"/>
    </row>
    <row r="86" spans="1:13" s="69" customFormat="1">
      <c r="A86" s="62" t="s">
        <v>132</v>
      </c>
      <c r="B86" s="62"/>
      <c r="C86" s="68" t="s">
        <v>39</v>
      </c>
      <c r="D86" s="64"/>
      <c r="E86" s="64"/>
      <c r="F86" s="65"/>
      <c r="G86" s="64">
        <f>0+D86</f>
        <v>0</v>
      </c>
      <c r="H86" s="64">
        <f>0+E86</f>
        <v>0</v>
      </c>
      <c r="I86" s="65">
        <f>0+F86</f>
        <v>0</v>
      </c>
      <c r="J86" s="64"/>
    </row>
    <row r="87" spans="1:13" s="69" customFormat="1" ht="25.5">
      <c r="A87" s="97" t="s">
        <v>15</v>
      </c>
      <c r="B87" s="98" t="s">
        <v>16</v>
      </c>
      <c r="C87" s="112"/>
      <c r="D87" s="80">
        <f t="shared" ref="D87:I87" si="17">D88+D89-D90</f>
        <v>28</v>
      </c>
      <c r="E87" s="80">
        <f t="shared" si="17"/>
        <v>1405426</v>
      </c>
      <c r="F87" s="106">
        <f t="shared" si="17"/>
        <v>140793.56549000001</v>
      </c>
      <c r="G87" s="104">
        <f t="shared" si="17"/>
        <v>127</v>
      </c>
      <c r="H87" s="104">
        <f t="shared" si="17"/>
        <v>4783149</v>
      </c>
      <c r="I87" s="105">
        <f t="shared" si="17"/>
        <v>528693.42311999993</v>
      </c>
      <c r="J87" s="64"/>
    </row>
    <row r="88" spans="1:13" s="69" customFormat="1">
      <c r="A88" s="97" t="s">
        <v>4</v>
      </c>
      <c r="B88" s="98"/>
      <c r="C88" s="68" t="s">
        <v>114</v>
      </c>
      <c r="D88" s="64">
        <f>2+10</f>
        <v>12</v>
      </c>
      <c r="E88" s="64">
        <f>30010+683081</f>
        <v>713091</v>
      </c>
      <c r="F88" s="65">
        <f>3012.24214+68460.13</f>
        <v>71472.372140000007</v>
      </c>
      <c r="G88" s="79">
        <f>25+8+D88</f>
        <v>45</v>
      </c>
      <c r="H88" s="79">
        <f>1030847+345950+E88</f>
        <v>2089888</v>
      </c>
      <c r="I88" s="109">
        <f>614.2+2003.4+10000+10320.68857+77732.23+34359.06424+F88</f>
        <v>206501.95494999998</v>
      </c>
      <c r="J88" s="64"/>
    </row>
    <row r="89" spans="1:13" s="69" customFormat="1">
      <c r="A89" s="97" t="s">
        <v>5</v>
      </c>
      <c r="B89" s="98"/>
      <c r="C89" s="68" t="s">
        <v>115</v>
      </c>
      <c r="D89" s="64">
        <f>2+4+10</f>
        <v>16</v>
      </c>
      <c r="E89" s="64">
        <f>22+39766+652547</f>
        <v>692335</v>
      </c>
      <c r="F89" s="65">
        <f>44.13335+3976.6+65300.46</f>
        <v>69321.193350000001</v>
      </c>
      <c r="G89" s="79">
        <f>45+21+D89</f>
        <v>82</v>
      </c>
      <c r="H89" s="79">
        <f>1546179+454747+E89</f>
        <v>2693261</v>
      </c>
      <c r="I89" s="109">
        <f>4614.7+73866.74+10232.00614+2620.3+10243.93044+106353.35+44939.24824+F89</f>
        <v>322191.46817000001</v>
      </c>
      <c r="J89" s="64"/>
    </row>
    <row r="90" spans="1:13" s="69" customFormat="1">
      <c r="A90" s="62" t="s">
        <v>132</v>
      </c>
      <c r="B90" s="62"/>
      <c r="C90" s="68" t="s">
        <v>39</v>
      </c>
      <c r="D90" s="64"/>
      <c r="E90" s="64"/>
      <c r="F90" s="65"/>
      <c r="G90" s="79">
        <f>0+D90</f>
        <v>0</v>
      </c>
      <c r="H90" s="79">
        <f>0+E90</f>
        <v>0</v>
      </c>
      <c r="I90" s="109">
        <f>0+F90</f>
        <v>0</v>
      </c>
      <c r="J90" s="64"/>
    </row>
    <row r="91" spans="1:13" s="69" customFormat="1" ht="43.5" customHeight="1">
      <c r="A91" s="97" t="s">
        <v>153</v>
      </c>
      <c r="B91" s="98" t="s">
        <v>17</v>
      </c>
      <c r="C91" s="112"/>
      <c r="D91" s="80">
        <f t="shared" ref="D91:I91" si="18">D92+D98-D104</f>
        <v>0</v>
      </c>
      <c r="E91" s="80">
        <f t="shared" si="18"/>
        <v>0</v>
      </c>
      <c r="F91" s="106">
        <f t="shared" si="18"/>
        <v>0</v>
      </c>
      <c r="G91" s="80">
        <f t="shared" si="18"/>
        <v>0</v>
      </c>
      <c r="H91" s="80">
        <f t="shared" si="18"/>
        <v>0</v>
      </c>
      <c r="I91" s="106">
        <f t="shared" si="18"/>
        <v>0</v>
      </c>
      <c r="J91" s="64"/>
    </row>
    <row r="92" spans="1:13" s="69" customFormat="1">
      <c r="A92" s="97" t="s">
        <v>4</v>
      </c>
      <c r="B92" s="98"/>
      <c r="C92" s="68" t="s">
        <v>114</v>
      </c>
      <c r="D92" s="64"/>
      <c r="E92" s="64"/>
      <c r="F92" s="65"/>
      <c r="G92" s="64"/>
      <c r="H92" s="64"/>
      <c r="I92" s="65"/>
      <c r="J92" s="64"/>
    </row>
    <row r="93" spans="1:13" s="69" customFormat="1" ht="39" customHeight="1">
      <c r="A93" s="97" t="s">
        <v>178</v>
      </c>
      <c r="B93" s="62"/>
      <c r="C93" s="68" t="s">
        <v>224</v>
      </c>
      <c r="D93" s="62" t="s">
        <v>136</v>
      </c>
      <c r="E93" s="62" t="s">
        <v>136</v>
      </c>
      <c r="F93" s="63" t="s">
        <v>136</v>
      </c>
      <c r="G93" s="62" t="s">
        <v>136</v>
      </c>
      <c r="H93" s="62" t="s">
        <v>136</v>
      </c>
      <c r="I93" s="63" t="s">
        <v>136</v>
      </c>
      <c r="J93" s="62" t="s">
        <v>136</v>
      </c>
    </row>
    <row r="94" spans="1:13" s="69" customFormat="1" ht="38.25">
      <c r="A94" s="97" t="s">
        <v>138</v>
      </c>
      <c r="B94" s="62"/>
      <c r="C94" s="68" t="s">
        <v>139</v>
      </c>
      <c r="D94" s="62"/>
      <c r="E94" s="62"/>
      <c r="F94" s="63"/>
      <c r="G94" s="62"/>
      <c r="H94" s="62"/>
      <c r="I94" s="63"/>
      <c r="J94" s="62"/>
    </row>
    <row r="95" spans="1:13" s="69" customFormat="1" ht="38.25">
      <c r="A95" s="97" t="s">
        <v>140</v>
      </c>
      <c r="B95" s="62"/>
      <c r="C95" s="68" t="s">
        <v>143</v>
      </c>
      <c r="D95" s="62"/>
      <c r="E95" s="62"/>
      <c r="F95" s="63"/>
      <c r="G95" s="62"/>
      <c r="H95" s="62"/>
      <c r="I95" s="63"/>
      <c r="J95" s="62"/>
    </row>
    <row r="96" spans="1:13" s="69" customFormat="1" ht="38.25">
      <c r="A96" s="97" t="s">
        <v>141</v>
      </c>
      <c r="B96" s="62"/>
      <c r="C96" s="68" t="s">
        <v>144</v>
      </c>
      <c r="D96" s="62"/>
      <c r="E96" s="62"/>
      <c r="F96" s="63"/>
      <c r="G96" s="62"/>
      <c r="H96" s="62"/>
      <c r="I96" s="63"/>
      <c r="J96" s="62"/>
    </row>
    <row r="97" spans="1:10" s="69" customFormat="1" ht="38.25">
      <c r="A97" s="97" t="s">
        <v>142</v>
      </c>
      <c r="B97" s="62"/>
      <c r="C97" s="68" t="s">
        <v>145</v>
      </c>
      <c r="D97" s="62"/>
      <c r="E97" s="62"/>
      <c r="F97" s="63"/>
      <c r="G97" s="62"/>
      <c r="H97" s="62"/>
      <c r="I97" s="63"/>
      <c r="J97" s="62"/>
    </row>
    <row r="98" spans="1:10" s="69" customFormat="1">
      <c r="A98" s="97" t="s">
        <v>5</v>
      </c>
      <c r="B98" s="98"/>
      <c r="C98" s="68" t="s">
        <v>115</v>
      </c>
      <c r="D98" s="64"/>
      <c r="E98" s="64"/>
      <c r="F98" s="65"/>
      <c r="G98" s="64"/>
      <c r="H98" s="64"/>
      <c r="I98" s="65"/>
      <c r="J98" s="64"/>
    </row>
    <row r="99" spans="1:10" s="69" customFormat="1" ht="38.25">
      <c r="A99" s="97" t="s">
        <v>178</v>
      </c>
      <c r="B99" s="62"/>
      <c r="C99" s="68" t="s">
        <v>225</v>
      </c>
      <c r="D99" s="62" t="s">
        <v>136</v>
      </c>
      <c r="E99" s="62" t="s">
        <v>136</v>
      </c>
      <c r="F99" s="63" t="s">
        <v>136</v>
      </c>
      <c r="G99" s="62" t="s">
        <v>136</v>
      </c>
      <c r="H99" s="62" t="s">
        <v>136</v>
      </c>
      <c r="I99" s="63" t="s">
        <v>136</v>
      </c>
      <c r="J99" s="62" t="s">
        <v>136</v>
      </c>
    </row>
    <row r="100" spans="1:10" s="69" customFormat="1" ht="38.25">
      <c r="A100" s="97" t="s">
        <v>138</v>
      </c>
      <c r="B100" s="62"/>
      <c r="C100" s="68" t="s">
        <v>147</v>
      </c>
      <c r="D100" s="62"/>
      <c r="E100" s="62"/>
      <c r="F100" s="63"/>
      <c r="G100" s="62"/>
      <c r="H100" s="62"/>
      <c r="I100" s="63"/>
      <c r="J100" s="62"/>
    </row>
    <row r="101" spans="1:10" s="69" customFormat="1" ht="38.25">
      <c r="A101" s="97" t="s">
        <v>140</v>
      </c>
      <c r="B101" s="62"/>
      <c r="C101" s="68" t="s">
        <v>148</v>
      </c>
      <c r="D101" s="62"/>
      <c r="E101" s="62"/>
      <c r="F101" s="63"/>
      <c r="G101" s="62"/>
      <c r="H101" s="62"/>
      <c r="I101" s="63"/>
      <c r="J101" s="62"/>
    </row>
    <row r="102" spans="1:10" s="69" customFormat="1" ht="38.25">
      <c r="A102" s="97" t="s">
        <v>141</v>
      </c>
      <c r="B102" s="62"/>
      <c r="C102" s="68" t="s">
        <v>149</v>
      </c>
      <c r="D102" s="62"/>
      <c r="E102" s="62"/>
      <c r="F102" s="63"/>
      <c r="G102" s="62"/>
      <c r="H102" s="62"/>
      <c r="I102" s="63"/>
      <c r="J102" s="62"/>
    </row>
    <row r="103" spans="1:10" s="69" customFormat="1" ht="38.25">
      <c r="A103" s="97" t="s">
        <v>142</v>
      </c>
      <c r="B103" s="62"/>
      <c r="C103" s="68" t="s">
        <v>150</v>
      </c>
      <c r="D103" s="62"/>
      <c r="E103" s="62"/>
      <c r="F103" s="63"/>
      <c r="G103" s="62"/>
      <c r="H103" s="62"/>
      <c r="I103" s="63"/>
      <c r="J103" s="62"/>
    </row>
    <row r="104" spans="1:10" s="69" customFormat="1">
      <c r="A104" s="62" t="s">
        <v>132</v>
      </c>
      <c r="B104" s="62"/>
      <c r="C104" s="68" t="s">
        <v>39</v>
      </c>
      <c r="D104" s="64"/>
      <c r="E104" s="64"/>
      <c r="F104" s="65"/>
      <c r="G104" s="64"/>
      <c r="H104" s="64"/>
      <c r="I104" s="65"/>
      <c r="J104" s="64"/>
    </row>
    <row r="105" spans="1:10" s="69" customFormat="1" ht="25.5">
      <c r="A105" s="97" t="s">
        <v>18</v>
      </c>
      <c r="B105" s="98" t="s">
        <v>117</v>
      </c>
      <c r="C105" s="112"/>
      <c r="D105" s="94">
        <f t="shared" ref="D105:I105" si="19">D106+D107-D108</f>
        <v>0</v>
      </c>
      <c r="E105" s="94">
        <f t="shared" si="19"/>
        <v>0</v>
      </c>
      <c r="F105" s="95">
        <f t="shared" si="19"/>
        <v>0</v>
      </c>
      <c r="G105" s="94">
        <f t="shared" si="19"/>
        <v>0</v>
      </c>
      <c r="H105" s="94">
        <f t="shared" si="19"/>
        <v>0</v>
      </c>
      <c r="I105" s="95">
        <f t="shared" si="19"/>
        <v>0</v>
      </c>
      <c r="J105" s="64"/>
    </row>
    <row r="106" spans="1:10" s="69" customFormat="1">
      <c r="A106" s="97" t="s">
        <v>4</v>
      </c>
      <c r="B106" s="98"/>
      <c r="C106" s="68" t="s">
        <v>114</v>
      </c>
      <c r="D106" s="64">
        <f t="shared" ref="D106:I106" si="20">D110+D114+D118+D132</f>
        <v>0</v>
      </c>
      <c r="E106" s="64">
        <f t="shared" si="20"/>
        <v>0</v>
      </c>
      <c r="F106" s="64">
        <f t="shared" si="20"/>
        <v>0</v>
      </c>
      <c r="G106" s="64">
        <f t="shared" si="20"/>
        <v>0</v>
      </c>
      <c r="H106" s="64">
        <f t="shared" si="20"/>
        <v>0</v>
      </c>
      <c r="I106" s="64">
        <f t="shared" si="20"/>
        <v>0</v>
      </c>
      <c r="J106" s="64"/>
    </row>
    <row r="107" spans="1:10" s="69" customFormat="1">
      <c r="A107" s="97" t="s">
        <v>5</v>
      </c>
      <c r="B107" s="98"/>
      <c r="C107" s="68" t="s">
        <v>115</v>
      </c>
      <c r="D107" s="64">
        <f t="shared" ref="D107:I107" si="21">D111+D115+D124+D133</f>
        <v>0</v>
      </c>
      <c r="E107" s="64">
        <f t="shared" si="21"/>
        <v>0</v>
      </c>
      <c r="F107" s="64">
        <f t="shared" si="21"/>
        <v>0</v>
      </c>
      <c r="G107" s="64">
        <f t="shared" si="21"/>
        <v>0</v>
      </c>
      <c r="H107" s="64">
        <f t="shared" si="21"/>
        <v>0</v>
      </c>
      <c r="I107" s="64">
        <f t="shared" si="21"/>
        <v>0</v>
      </c>
      <c r="J107" s="64"/>
    </row>
    <row r="108" spans="1:10" s="69" customFormat="1">
      <c r="A108" s="62" t="s">
        <v>132</v>
      </c>
      <c r="B108" s="62"/>
      <c r="C108" s="68" t="s">
        <v>39</v>
      </c>
      <c r="D108" s="64">
        <f t="shared" ref="D108:I108" si="22">D112+D116+D130+D134</f>
        <v>0</v>
      </c>
      <c r="E108" s="64">
        <f t="shared" si="22"/>
        <v>0</v>
      </c>
      <c r="F108" s="64">
        <f t="shared" si="22"/>
        <v>0</v>
      </c>
      <c r="G108" s="64">
        <f t="shared" si="22"/>
        <v>0</v>
      </c>
      <c r="H108" s="64">
        <f t="shared" si="22"/>
        <v>0</v>
      </c>
      <c r="I108" s="64">
        <f t="shared" si="22"/>
        <v>0</v>
      </c>
      <c r="J108" s="64"/>
    </row>
    <row r="109" spans="1:10" s="69" customFormat="1" ht="51">
      <c r="A109" s="97" t="s">
        <v>154</v>
      </c>
      <c r="B109" s="98" t="s">
        <v>19</v>
      </c>
      <c r="C109" s="112"/>
      <c r="D109" s="80">
        <f t="shared" ref="D109:I109" si="23">D110+D111-D112</f>
        <v>0</v>
      </c>
      <c r="E109" s="80">
        <f t="shared" si="23"/>
        <v>0</v>
      </c>
      <c r="F109" s="106">
        <f t="shared" si="23"/>
        <v>0</v>
      </c>
      <c r="G109" s="80">
        <f t="shared" si="23"/>
        <v>0</v>
      </c>
      <c r="H109" s="80">
        <f t="shared" si="23"/>
        <v>0</v>
      </c>
      <c r="I109" s="106">
        <f t="shared" si="23"/>
        <v>0</v>
      </c>
      <c r="J109" s="64"/>
    </row>
    <row r="110" spans="1:10" s="69" customFormat="1">
      <c r="A110" s="97" t="s">
        <v>4</v>
      </c>
      <c r="B110" s="98"/>
      <c r="C110" s="68" t="s">
        <v>114</v>
      </c>
      <c r="D110" s="64"/>
      <c r="E110" s="64"/>
      <c r="F110" s="65"/>
      <c r="G110" s="64"/>
      <c r="H110" s="64"/>
      <c r="I110" s="65"/>
      <c r="J110" s="64"/>
    </row>
    <row r="111" spans="1:10" s="69" customFormat="1">
      <c r="A111" s="97" t="s">
        <v>5</v>
      </c>
      <c r="B111" s="98"/>
      <c r="C111" s="68" t="s">
        <v>115</v>
      </c>
      <c r="D111" s="64"/>
      <c r="E111" s="64"/>
      <c r="F111" s="65"/>
      <c r="G111" s="64"/>
      <c r="H111" s="64"/>
      <c r="I111" s="65"/>
      <c r="J111" s="64"/>
    </row>
    <row r="112" spans="1:10" s="69" customFormat="1">
      <c r="A112" s="62" t="s">
        <v>132</v>
      </c>
      <c r="B112" s="62"/>
      <c r="C112" s="68" t="s">
        <v>39</v>
      </c>
      <c r="D112" s="64"/>
      <c r="E112" s="64"/>
      <c r="F112" s="65"/>
      <c r="G112" s="64"/>
      <c r="H112" s="64"/>
      <c r="I112" s="65"/>
      <c r="J112" s="64"/>
    </row>
    <row r="113" spans="1:10" s="69" customFormat="1" ht="89.25">
      <c r="A113" s="97" t="s">
        <v>155</v>
      </c>
      <c r="B113" s="98" t="s">
        <v>20</v>
      </c>
      <c r="C113" s="112"/>
      <c r="D113" s="80">
        <f t="shared" ref="D113:I113" si="24">D114+D115-D116</f>
        <v>0</v>
      </c>
      <c r="E113" s="80">
        <f t="shared" si="24"/>
        <v>0</v>
      </c>
      <c r="F113" s="106">
        <f t="shared" si="24"/>
        <v>0</v>
      </c>
      <c r="G113" s="80">
        <f t="shared" si="24"/>
        <v>0</v>
      </c>
      <c r="H113" s="80">
        <f t="shared" si="24"/>
        <v>0</v>
      </c>
      <c r="I113" s="106">
        <f t="shared" si="24"/>
        <v>0</v>
      </c>
      <c r="J113" s="64"/>
    </row>
    <row r="114" spans="1:10" s="69" customFormat="1">
      <c r="A114" s="97" t="s">
        <v>4</v>
      </c>
      <c r="B114" s="98"/>
      <c r="C114" s="68" t="s">
        <v>114</v>
      </c>
      <c r="D114" s="64"/>
      <c r="E114" s="64"/>
      <c r="F114" s="65"/>
      <c r="G114" s="64"/>
      <c r="H114" s="64"/>
      <c r="I114" s="65"/>
      <c r="J114" s="64"/>
    </row>
    <row r="115" spans="1:10" s="69" customFormat="1">
      <c r="A115" s="97" t="s">
        <v>5</v>
      </c>
      <c r="B115" s="98"/>
      <c r="C115" s="68" t="s">
        <v>115</v>
      </c>
      <c r="D115" s="64"/>
      <c r="E115" s="64"/>
      <c r="F115" s="65"/>
      <c r="G115" s="64"/>
      <c r="H115" s="64"/>
      <c r="I115" s="65"/>
      <c r="J115" s="64"/>
    </row>
    <row r="116" spans="1:10" s="69" customFormat="1">
      <c r="A116" s="62" t="s">
        <v>132</v>
      </c>
      <c r="B116" s="62"/>
      <c r="C116" s="68" t="s">
        <v>39</v>
      </c>
      <c r="D116" s="64"/>
      <c r="E116" s="64"/>
      <c r="F116" s="65"/>
      <c r="G116" s="64"/>
      <c r="H116" s="64"/>
      <c r="I116" s="65"/>
      <c r="J116" s="64"/>
    </row>
    <row r="117" spans="1:10" s="69" customFormat="1" ht="38.25">
      <c r="A117" s="97" t="s">
        <v>156</v>
      </c>
      <c r="B117" s="98" t="s">
        <v>21</v>
      </c>
      <c r="C117" s="112"/>
      <c r="D117" s="80">
        <f t="shared" ref="D117:I117" si="25">D118+D124-D130</f>
        <v>0</v>
      </c>
      <c r="E117" s="80">
        <f t="shared" si="25"/>
        <v>0</v>
      </c>
      <c r="F117" s="106">
        <f t="shared" si="25"/>
        <v>0</v>
      </c>
      <c r="G117" s="80">
        <f t="shared" si="25"/>
        <v>0</v>
      </c>
      <c r="H117" s="80">
        <f t="shared" si="25"/>
        <v>0</v>
      </c>
      <c r="I117" s="106">
        <f t="shared" si="25"/>
        <v>0</v>
      </c>
      <c r="J117" s="64"/>
    </row>
    <row r="118" spans="1:10" s="69" customFormat="1">
      <c r="A118" s="97" t="s">
        <v>4</v>
      </c>
      <c r="B118" s="98"/>
      <c r="C118" s="68" t="s">
        <v>114</v>
      </c>
      <c r="D118" s="64"/>
      <c r="E118" s="64"/>
      <c r="F118" s="65"/>
      <c r="G118" s="64"/>
      <c r="H118" s="64"/>
      <c r="I118" s="65"/>
      <c r="J118" s="64"/>
    </row>
    <row r="119" spans="1:10" s="69" customFormat="1" ht="38.25">
      <c r="A119" s="97" t="s">
        <v>157</v>
      </c>
      <c r="B119" s="62"/>
      <c r="C119" s="68" t="s">
        <v>224</v>
      </c>
      <c r="D119" s="62" t="s">
        <v>136</v>
      </c>
      <c r="E119" s="62" t="s">
        <v>136</v>
      </c>
      <c r="F119" s="63" t="s">
        <v>136</v>
      </c>
      <c r="G119" s="62" t="s">
        <v>136</v>
      </c>
      <c r="H119" s="62" t="s">
        <v>136</v>
      </c>
      <c r="I119" s="63" t="s">
        <v>136</v>
      </c>
      <c r="J119" s="62" t="s">
        <v>136</v>
      </c>
    </row>
    <row r="120" spans="1:10" s="69" customFormat="1" ht="38.25">
      <c r="A120" s="97" t="s">
        <v>138</v>
      </c>
      <c r="B120" s="62"/>
      <c r="C120" s="68" t="s">
        <v>139</v>
      </c>
      <c r="D120" s="62"/>
      <c r="E120" s="62"/>
      <c r="F120" s="63"/>
      <c r="G120" s="62"/>
      <c r="H120" s="62"/>
      <c r="I120" s="63"/>
      <c r="J120" s="62"/>
    </row>
    <row r="121" spans="1:10" s="69" customFormat="1" ht="38.25">
      <c r="A121" s="97" t="s">
        <v>140</v>
      </c>
      <c r="B121" s="62"/>
      <c r="C121" s="68" t="s">
        <v>143</v>
      </c>
      <c r="D121" s="62"/>
      <c r="E121" s="62"/>
      <c r="F121" s="63"/>
      <c r="G121" s="62"/>
      <c r="H121" s="62"/>
      <c r="I121" s="63"/>
      <c r="J121" s="62"/>
    </row>
    <row r="122" spans="1:10" s="69" customFormat="1" ht="38.25">
      <c r="A122" s="97" t="s">
        <v>141</v>
      </c>
      <c r="B122" s="62"/>
      <c r="C122" s="68" t="s">
        <v>144</v>
      </c>
      <c r="D122" s="62"/>
      <c r="E122" s="62"/>
      <c r="F122" s="63"/>
      <c r="G122" s="62"/>
      <c r="H122" s="62"/>
      <c r="I122" s="63"/>
      <c r="J122" s="62"/>
    </row>
    <row r="123" spans="1:10" s="69" customFormat="1" ht="38.25">
      <c r="A123" s="97" t="s">
        <v>142</v>
      </c>
      <c r="B123" s="62"/>
      <c r="C123" s="68" t="s">
        <v>145</v>
      </c>
      <c r="D123" s="62"/>
      <c r="E123" s="62"/>
      <c r="F123" s="63"/>
      <c r="G123" s="62"/>
      <c r="H123" s="62"/>
      <c r="I123" s="63"/>
      <c r="J123" s="62"/>
    </row>
    <row r="124" spans="1:10" s="69" customFormat="1">
      <c r="A124" s="97" t="s">
        <v>5</v>
      </c>
      <c r="B124" s="98"/>
      <c r="C124" s="68" t="s">
        <v>115</v>
      </c>
      <c r="D124" s="64"/>
      <c r="E124" s="64"/>
      <c r="F124" s="65"/>
      <c r="G124" s="64"/>
      <c r="H124" s="64"/>
      <c r="I124" s="65"/>
      <c r="J124" s="64"/>
    </row>
    <row r="125" spans="1:10" s="69" customFormat="1" ht="38.25">
      <c r="A125" s="97" t="s">
        <v>157</v>
      </c>
      <c r="B125" s="62"/>
      <c r="C125" s="68" t="s">
        <v>225</v>
      </c>
      <c r="D125" s="62" t="s">
        <v>136</v>
      </c>
      <c r="E125" s="62" t="s">
        <v>136</v>
      </c>
      <c r="F125" s="63" t="s">
        <v>136</v>
      </c>
      <c r="G125" s="62" t="s">
        <v>136</v>
      </c>
      <c r="H125" s="62" t="s">
        <v>136</v>
      </c>
      <c r="I125" s="63" t="s">
        <v>136</v>
      </c>
      <c r="J125" s="62" t="s">
        <v>136</v>
      </c>
    </row>
    <row r="126" spans="1:10" s="69" customFormat="1" ht="38.25">
      <c r="A126" s="97" t="s">
        <v>138</v>
      </c>
      <c r="B126" s="62"/>
      <c r="C126" s="68" t="s">
        <v>147</v>
      </c>
      <c r="D126" s="62"/>
      <c r="E126" s="62"/>
      <c r="F126" s="63"/>
      <c r="G126" s="62"/>
      <c r="H126" s="62"/>
      <c r="I126" s="63"/>
      <c r="J126" s="62"/>
    </row>
    <row r="127" spans="1:10" s="69" customFormat="1" ht="38.25">
      <c r="A127" s="97" t="s">
        <v>140</v>
      </c>
      <c r="B127" s="62"/>
      <c r="C127" s="68" t="s">
        <v>148</v>
      </c>
      <c r="D127" s="62"/>
      <c r="E127" s="62"/>
      <c r="F127" s="63"/>
      <c r="G127" s="62"/>
      <c r="H127" s="62"/>
      <c r="I127" s="63"/>
      <c r="J127" s="62"/>
    </row>
    <row r="128" spans="1:10" s="69" customFormat="1" ht="38.25">
      <c r="A128" s="97" t="s">
        <v>141</v>
      </c>
      <c r="B128" s="62"/>
      <c r="C128" s="68" t="s">
        <v>149</v>
      </c>
      <c r="D128" s="62"/>
      <c r="E128" s="62"/>
      <c r="F128" s="63"/>
      <c r="G128" s="62"/>
      <c r="H128" s="62"/>
      <c r="I128" s="63"/>
      <c r="J128" s="62"/>
    </row>
    <row r="129" spans="1:10" s="69" customFormat="1" ht="38.25">
      <c r="A129" s="97" t="s">
        <v>142</v>
      </c>
      <c r="B129" s="62"/>
      <c r="C129" s="68" t="s">
        <v>150</v>
      </c>
      <c r="D129" s="62"/>
      <c r="E129" s="62"/>
      <c r="F129" s="63"/>
      <c r="G129" s="62"/>
      <c r="H129" s="62"/>
      <c r="I129" s="63"/>
      <c r="J129" s="62"/>
    </row>
    <row r="130" spans="1:10" s="69" customFormat="1">
      <c r="A130" s="62" t="s">
        <v>132</v>
      </c>
      <c r="B130" s="62"/>
      <c r="C130" s="68" t="s">
        <v>39</v>
      </c>
      <c r="D130" s="64"/>
      <c r="E130" s="64"/>
      <c r="F130" s="65"/>
      <c r="G130" s="64"/>
      <c r="H130" s="64"/>
      <c r="I130" s="65"/>
      <c r="J130" s="64"/>
    </row>
    <row r="131" spans="1:10" s="69" customFormat="1" ht="25.5">
      <c r="A131" s="97" t="s">
        <v>22</v>
      </c>
      <c r="B131" s="98" t="s">
        <v>23</v>
      </c>
      <c r="C131" s="112"/>
      <c r="D131" s="80">
        <f t="shared" ref="D131:I131" si="26">D132+D133-D134</f>
        <v>0</v>
      </c>
      <c r="E131" s="80">
        <f t="shared" si="26"/>
        <v>0</v>
      </c>
      <c r="F131" s="106">
        <f t="shared" si="26"/>
        <v>0</v>
      </c>
      <c r="G131" s="80">
        <f t="shared" si="26"/>
        <v>0</v>
      </c>
      <c r="H131" s="80">
        <f t="shared" si="26"/>
        <v>0</v>
      </c>
      <c r="I131" s="106">
        <f t="shared" si="26"/>
        <v>0</v>
      </c>
      <c r="J131" s="64"/>
    </row>
    <row r="132" spans="1:10" s="69" customFormat="1">
      <c r="A132" s="97" t="s">
        <v>4</v>
      </c>
      <c r="B132" s="98"/>
      <c r="C132" s="68" t="s">
        <v>114</v>
      </c>
      <c r="D132" s="64"/>
      <c r="E132" s="64"/>
      <c r="F132" s="65"/>
      <c r="G132" s="64"/>
      <c r="H132" s="64"/>
      <c r="I132" s="65"/>
      <c r="J132" s="64"/>
    </row>
    <row r="133" spans="1:10" s="69" customFormat="1">
      <c r="A133" s="97" t="s">
        <v>5</v>
      </c>
      <c r="B133" s="98"/>
      <c r="C133" s="68" t="s">
        <v>115</v>
      </c>
      <c r="D133" s="64"/>
      <c r="E133" s="64"/>
      <c r="F133" s="65"/>
      <c r="G133" s="64"/>
      <c r="H133" s="64"/>
      <c r="I133" s="65"/>
      <c r="J133" s="64"/>
    </row>
    <row r="134" spans="1:10" s="69" customFormat="1">
      <c r="A134" s="62" t="s">
        <v>132</v>
      </c>
      <c r="B134" s="62"/>
      <c r="C134" s="68" t="s">
        <v>39</v>
      </c>
      <c r="D134" s="64"/>
      <c r="E134" s="64"/>
      <c r="F134" s="65"/>
      <c r="G134" s="64"/>
      <c r="H134" s="64"/>
      <c r="I134" s="65"/>
      <c r="J134" s="64"/>
    </row>
    <row r="135" spans="1:10" s="69" customFormat="1" ht="38.25">
      <c r="A135" s="97" t="s">
        <v>24</v>
      </c>
      <c r="B135" s="98" t="s">
        <v>67</v>
      </c>
      <c r="C135" s="112"/>
      <c r="D135" s="118">
        <f t="shared" ref="D135:I135" si="27">D136+D142-D148</f>
        <v>0</v>
      </c>
      <c r="E135" s="118">
        <f t="shared" si="27"/>
        <v>0</v>
      </c>
      <c r="F135" s="95">
        <f t="shared" si="27"/>
        <v>0</v>
      </c>
      <c r="G135" s="94">
        <f t="shared" si="27"/>
        <v>0</v>
      </c>
      <c r="H135" s="94">
        <f t="shared" si="27"/>
        <v>0</v>
      </c>
      <c r="I135" s="95">
        <f t="shared" si="27"/>
        <v>0</v>
      </c>
      <c r="J135" s="64"/>
    </row>
    <row r="136" spans="1:10" s="69" customFormat="1">
      <c r="A136" s="97" t="s">
        <v>4</v>
      </c>
      <c r="B136" s="98"/>
      <c r="C136" s="68" t="s">
        <v>114</v>
      </c>
      <c r="D136" s="119"/>
      <c r="E136" s="119"/>
      <c r="F136" s="120"/>
      <c r="G136" s="119"/>
      <c r="H136" s="119"/>
      <c r="I136" s="120"/>
      <c r="J136" s="64"/>
    </row>
    <row r="137" spans="1:10" s="69" customFormat="1" ht="51">
      <c r="A137" s="97" t="s">
        <v>158</v>
      </c>
      <c r="B137" s="62"/>
      <c r="C137" s="68" t="s">
        <v>224</v>
      </c>
      <c r="D137" s="62" t="s">
        <v>136</v>
      </c>
      <c r="E137" s="62" t="s">
        <v>136</v>
      </c>
      <c r="F137" s="63" t="s">
        <v>136</v>
      </c>
      <c r="G137" s="62" t="s">
        <v>136</v>
      </c>
      <c r="H137" s="62" t="s">
        <v>136</v>
      </c>
      <c r="I137" s="63" t="s">
        <v>136</v>
      </c>
      <c r="J137" s="62" t="s">
        <v>136</v>
      </c>
    </row>
    <row r="138" spans="1:10" s="69" customFormat="1" ht="38.25">
      <c r="A138" s="97" t="s">
        <v>138</v>
      </c>
      <c r="B138" s="62"/>
      <c r="C138" s="68" t="s">
        <v>139</v>
      </c>
      <c r="D138" s="62"/>
      <c r="E138" s="62"/>
      <c r="F138" s="63"/>
      <c r="G138" s="62"/>
      <c r="H138" s="62"/>
      <c r="I138" s="63"/>
      <c r="J138" s="62"/>
    </row>
    <row r="139" spans="1:10" s="69" customFormat="1" ht="38.25">
      <c r="A139" s="97" t="s">
        <v>140</v>
      </c>
      <c r="B139" s="62"/>
      <c r="C139" s="68" t="s">
        <v>143</v>
      </c>
      <c r="D139" s="62"/>
      <c r="E139" s="62"/>
      <c r="F139" s="63"/>
      <c r="G139" s="62"/>
      <c r="H139" s="62"/>
      <c r="I139" s="63"/>
      <c r="J139" s="62"/>
    </row>
    <row r="140" spans="1:10" s="69" customFormat="1" ht="38.25">
      <c r="A140" s="97" t="s">
        <v>141</v>
      </c>
      <c r="B140" s="62"/>
      <c r="C140" s="68" t="s">
        <v>144</v>
      </c>
      <c r="D140" s="62"/>
      <c r="E140" s="62"/>
      <c r="F140" s="63"/>
      <c r="G140" s="62"/>
      <c r="H140" s="62"/>
      <c r="I140" s="63"/>
      <c r="J140" s="62"/>
    </row>
    <row r="141" spans="1:10" s="69" customFormat="1" ht="38.25">
      <c r="A141" s="97" t="s">
        <v>142</v>
      </c>
      <c r="B141" s="62"/>
      <c r="C141" s="68" t="s">
        <v>145</v>
      </c>
      <c r="D141" s="62"/>
      <c r="E141" s="62"/>
      <c r="F141" s="63"/>
      <c r="G141" s="62"/>
      <c r="H141" s="62"/>
      <c r="I141" s="63"/>
      <c r="J141" s="62"/>
    </row>
    <row r="142" spans="1:10" s="69" customFormat="1">
      <c r="A142" s="97" t="s">
        <v>5</v>
      </c>
      <c r="B142" s="98"/>
      <c r="C142" s="68" t="s">
        <v>115</v>
      </c>
      <c r="D142" s="119"/>
      <c r="E142" s="119"/>
      <c r="F142" s="120"/>
      <c r="G142" s="119"/>
      <c r="H142" s="119"/>
      <c r="I142" s="120"/>
      <c r="J142" s="64"/>
    </row>
    <row r="143" spans="1:10" s="69" customFormat="1" ht="51">
      <c r="A143" s="97" t="s">
        <v>158</v>
      </c>
      <c r="B143" s="62"/>
      <c r="C143" s="68" t="s">
        <v>225</v>
      </c>
      <c r="D143" s="62" t="s">
        <v>136</v>
      </c>
      <c r="E143" s="62" t="s">
        <v>136</v>
      </c>
      <c r="F143" s="63" t="s">
        <v>136</v>
      </c>
      <c r="G143" s="62" t="s">
        <v>136</v>
      </c>
      <c r="H143" s="62" t="s">
        <v>136</v>
      </c>
      <c r="I143" s="63" t="s">
        <v>136</v>
      </c>
      <c r="J143" s="62" t="s">
        <v>136</v>
      </c>
    </row>
    <row r="144" spans="1:10" s="69" customFormat="1" ht="38.25">
      <c r="A144" s="97" t="s">
        <v>138</v>
      </c>
      <c r="B144" s="62"/>
      <c r="C144" s="68" t="s">
        <v>147</v>
      </c>
      <c r="D144" s="62"/>
      <c r="E144" s="62"/>
      <c r="F144" s="63"/>
      <c r="G144" s="62"/>
      <c r="H144" s="62"/>
      <c r="I144" s="63"/>
      <c r="J144" s="62"/>
    </row>
    <row r="145" spans="1:10" s="69" customFormat="1" ht="38.25">
      <c r="A145" s="97" t="s">
        <v>140</v>
      </c>
      <c r="B145" s="62"/>
      <c r="C145" s="68" t="s">
        <v>148</v>
      </c>
      <c r="D145" s="62"/>
      <c r="E145" s="62"/>
      <c r="F145" s="63"/>
      <c r="G145" s="62"/>
      <c r="H145" s="62"/>
      <c r="I145" s="63"/>
      <c r="J145" s="62"/>
    </row>
    <row r="146" spans="1:10" s="69" customFormat="1" ht="38.25">
      <c r="A146" s="97" t="s">
        <v>141</v>
      </c>
      <c r="B146" s="62"/>
      <c r="C146" s="68" t="s">
        <v>149</v>
      </c>
      <c r="D146" s="62"/>
      <c r="E146" s="62"/>
      <c r="F146" s="63"/>
      <c r="G146" s="62"/>
      <c r="H146" s="62"/>
      <c r="I146" s="63"/>
      <c r="J146" s="62"/>
    </row>
    <row r="147" spans="1:10" s="69" customFormat="1" ht="38.25">
      <c r="A147" s="97" t="s">
        <v>142</v>
      </c>
      <c r="B147" s="62"/>
      <c r="C147" s="68" t="s">
        <v>150</v>
      </c>
      <c r="D147" s="62"/>
      <c r="E147" s="62"/>
      <c r="F147" s="63"/>
      <c r="G147" s="62"/>
      <c r="H147" s="62"/>
      <c r="I147" s="63"/>
      <c r="J147" s="62"/>
    </row>
    <row r="148" spans="1:10" s="69" customFormat="1">
      <c r="A148" s="62" t="s">
        <v>132</v>
      </c>
      <c r="B148" s="62"/>
      <c r="C148" s="68" t="s">
        <v>39</v>
      </c>
      <c r="D148" s="119"/>
      <c r="E148" s="119"/>
      <c r="F148" s="120"/>
      <c r="G148" s="119"/>
      <c r="H148" s="119"/>
      <c r="I148" s="120"/>
      <c r="J148" s="64"/>
    </row>
    <row r="149" spans="1:10" s="69" customFormat="1" ht="38.25">
      <c r="A149" s="97" t="s">
        <v>25</v>
      </c>
      <c r="B149" s="98" t="s">
        <v>68</v>
      </c>
      <c r="C149" s="112"/>
      <c r="D149" s="118">
        <f t="shared" ref="D149:I149" si="28">D150+D156-D162</f>
        <v>0</v>
      </c>
      <c r="E149" s="118">
        <f t="shared" si="28"/>
        <v>0</v>
      </c>
      <c r="F149" s="95">
        <f t="shared" si="28"/>
        <v>0</v>
      </c>
      <c r="G149" s="94">
        <f t="shared" si="28"/>
        <v>0</v>
      </c>
      <c r="H149" s="94">
        <f t="shared" si="28"/>
        <v>0</v>
      </c>
      <c r="I149" s="95">
        <f t="shared" si="28"/>
        <v>0</v>
      </c>
      <c r="J149" s="64"/>
    </row>
    <row r="150" spans="1:10" s="69" customFormat="1">
      <c r="A150" s="97" t="s">
        <v>4</v>
      </c>
      <c r="B150" s="98"/>
      <c r="C150" s="68" t="s">
        <v>114</v>
      </c>
      <c r="D150" s="121"/>
      <c r="E150" s="121"/>
      <c r="F150" s="120"/>
      <c r="G150" s="119"/>
      <c r="H150" s="119"/>
      <c r="I150" s="120"/>
      <c r="J150" s="64"/>
    </row>
    <row r="151" spans="1:10" s="69" customFormat="1" ht="71.25" customHeight="1">
      <c r="A151" s="97" t="s">
        <v>159</v>
      </c>
      <c r="B151" s="62"/>
      <c r="C151" s="68" t="s">
        <v>224</v>
      </c>
      <c r="D151" s="62" t="s">
        <v>136</v>
      </c>
      <c r="E151" s="62" t="s">
        <v>136</v>
      </c>
      <c r="F151" s="63" t="s">
        <v>136</v>
      </c>
      <c r="G151" s="62" t="s">
        <v>136</v>
      </c>
      <c r="H151" s="62" t="s">
        <v>136</v>
      </c>
      <c r="I151" s="63" t="s">
        <v>136</v>
      </c>
      <c r="J151" s="62" t="s">
        <v>136</v>
      </c>
    </row>
    <row r="152" spans="1:10" s="69" customFormat="1" ht="38.25">
      <c r="A152" s="97" t="s">
        <v>138</v>
      </c>
      <c r="B152" s="62"/>
      <c r="C152" s="68" t="s">
        <v>139</v>
      </c>
      <c r="D152" s="62"/>
      <c r="E152" s="62"/>
      <c r="F152" s="63"/>
      <c r="G152" s="62"/>
      <c r="H152" s="62"/>
      <c r="I152" s="63"/>
      <c r="J152" s="62"/>
    </row>
    <row r="153" spans="1:10" s="69" customFormat="1" ht="38.25">
      <c r="A153" s="97" t="s">
        <v>140</v>
      </c>
      <c r="B153" s="62"/>
      <c r="C153" s="68" t="s">
        <v>143</v>
      </c>
      <c r="D153" s="62"/>
      <c r="E153" s="62"/>
      <c r="F153" s="63"/>
      <c r="G153" s="62"/>
      <c r="H153" s="62"/>
      <c r="I153" s="63"/>
      <c r="J153" s="62"/>
    </row>
    <row r="154" spans="1:10" s="69" customFormat="1" ht="38.25">
      <c r="A154" s="97" t="s">
        <v>141</v>
      </c>
      <c r="B154" s="62"/>
      <c r="C154" s="68" t="s">
        <v>144</v>
      </c>
      <c r="D154" s="62"/>
      <c r="E154" s="62"/>
      <c r="F154" s="63"/>
      <c r="G154" s="62"/>
      <c r="H154" s="62"/>
      <c r="I154" s="63"/>
      <c r="J154" s="62"/>
    </row>
    <row r="155" spans="1:10" s="69" customFormat="1" ht="38.25">
      <c r="A155" s="97" t="s">
        <v>142</v>
      </c>
      <c r="B155" s="62"/>
      <c r="C155" s="68" t="s">
        <v>145</v>
      </c>
      <c r="D155" s="62"/>
      <c r="E155" s="62"/>
      <c r="F155" s="63"/>
      <c r="G155" s="62"/>
      <c r="H155" s="62"/>
      <c r="I155" s="63"/>
      <c r="J155" s="62"/>
    </row>
    <row r="156" spans="1:10" s="69" customFormat="1">
      <c r="A156" s="97" t="s">
        <v>5</v>
      </c>
      <c r="B156" s="98"/>
      <c r="C156" s="68" t="s">
        <v>115</v>
      </c>
      <c r="D156" s="121"/>
      <c r="E156" s="121"/>
      <c r="F156" s="120"/>
      <c r="G156" s="119"/>
      <c r="H156" s="119"/>
      <c r="I156" s="120"/>
      <c r="J156" s="64"/>
    </row>
    <row r="157" spans="1:10" s="69" customFormat="1" ht="71.25" customHeight="1">
      <c r="A157" s="97" t="s">
        <v>159</v>
      </c>
      <c r="B157" s="62"/>
      <c r="C157" s="68" t="s">
        <v>225</v>
      </c>
      <c r="D157" s="62" t="s">
        <v>136</v>
      </c>
      <c r="E157" s="62" t="s">
        <v>136</v>
      </c>
      <c r="F157" s="63" t="s">
        <v>136</v>
      </c>
      <c r="G157" s="62" t="s">
        <v>136</v>
      </c>
      <c r="H157" s="62" t="s">
        <v>136</v>
      </c>
      <c r="I157" s="63" t="s">
        <v>136</v>
      </c>
      <c r="J157" s="62" t="s">
        <v>136</v>
      </c>
    </row>
    <row r="158" spans="1:10" s="69" customFormat="1" ht="38.25">
      <c r="A158" s="97" t="s">
        <v>138</v>
      </c>
      <c r="B158" s="62"/>
      <c r="C158" s="68" t="s">
        <v>147</v>
      </c>
      <c r="D158" s="62"/>
      <c r="E158" s="62"/>
      <c r="F158" s="63"/>
      <c r="G158" s="62"/>
      <c r="H158" s="62"/>
      <c r="I158" s="63"/>
      <c r="J158" s="62"/>
    </row>
    <row r="159" spans="1:10" s="69" customFormat="1" ht="38.25">
      <c r="A159" s="97" t="s">
        <v>140</v>
      </c>
      <c r="B159" s="62"/>
      <c r="C159" s="68" t="s">
        <v>148</v>
      </c>
      <c r="D159" s="62"/>
      <c r="E159" s="62"/>
      <c r="F159" s="63"/>
      <c r="G159" s="62"/>
      <c r="H159" s="62"/>
      <c r="I159" s="63"/>
      <c r="J159" s="62"/>
    </row>
    <row r="160" spans="1:10" s="69" customFormat="1" ht="38.25">
      <c r="A160" s="97" t="s">
        <v>141</v>
      </c>
      <c r="B160" s="62"/>
      <c r="C160" s="68" t="s">
        <v>149</v>
      </c>
      <c r="D160" s="62"/>
      <c r="E160" s="62"/>
      <c r="F160" s="63"/>
      <c r="G160" s="62"/>
      <c r="H160" s="62"/>
      <c r="I160" s="63"/>
      <c r="J160" s="62"/>
    </row>
    <row r="161" spans="1:10" s="69" customFormat="1" ht="38.25">
      <c r="A161" s="97" t="s">
        <v>142</v>
      </c>
      <c r="B161" s="62"/>
      <c r="C161" s="68" t="s">
        <v>150</v>
      </c>
      <c r="D161" s="62"/>
      <c r="E161" s="62"/>
      <c r="F161" s="63"/>
      <c r="G161" s="62"/>
      <c r="H161" s="62"/>
      <c r="I161" s="63"/>
      <c r="J161" s="62"/>
    </row>
    <row r="162" spans="1:10" s="69" customFormat="1">
      <c r="A162" s="62" t="s">
        <v>132</v>
      </c>
      <c r="B162" s="62"/>
      <c r="C162" s="68" t="s">
        <v>39</v>
      </c>
      <c r="D162" s="121"/>
      <c r="E162" s="121"/>
      <c r="F162" s="120"/>
      <c r="G162" s="119"/>
      <c r="H162" s="119"/>
      <c r="I162" s="120"/>
      <c r="J162" s="64"/>
    </row>
    <row r="163" spans="1:10" s="69" customFormat="1" ht="56.25" customHeight="1">
      <c r="A163" s="97" t="s">
        <v>26</v>
      </c>
      <c r="B163" s="98" t="s">
        <v>69</v>
      </c>
      <c r="C163" s="112"/>
      <c r="D163" s="118">
        <f t="shared" ref="D163:I163" si="29">D164+D170-D176</f>
        <v>10</v>
      </c>
      <c r="E163" s="118">
        <f t="shared" si="29"/>
        <v>15900</v>
      </c>
      <c r="F163" s="95">
        <f t="shared" si="29"/>
        <v>32494.28</v>
      </c>
      <c r="G163" s="94">
        <f t="shared" si="29"/>
        <v>10</v>
      </c>
      <c r="H163" s="94">
        <f t="shared" si="29"/>
        <v>15900</v>
      </c>
      <c r="I163" s="95">
        <f t="shared" si="29"/>
        <v>32494.28</v>
      </c>
      <c r="J163" s="66" t="s">
        <v>279</v>
      </c>
    </row>
    <row r="164" spans="1:10" s="69" customFormat="1">
      <c r="A164" s="97" t="s">
        <v>4</v>
      </c>
      <c r="B164" s="98"/>
      <c r="C164" s="68" t="s">
        <v>114</v>
      </c>
      <c r="D164" s="121">
        <v>10</v>
      </c>
      <c r="E164" s="121">
        <v>15900</v>
      </c>
      <c r="F164" s="120">
        <v>32494.28</v>
      </c>
      <c r="G164" s="119">
        <f>D164</f>
        <v>10</v>
      </c>
      <c r="H164" s="119">
        <f>E164</f>
        <v>15900</v>
      </c>
      <c r="I164" s="120">
        <f>F164</f>
        <v>32494.28</v>
      </c>
      <c r="J164" s="64"/>
    </row>
    <row r="165" spans="1:10" s="69" customFormat="1" ht="57" customHeight="1">
      <c r="A165" s="97" t="s">
        <v>160</v>
      </c>
      <c r="B165" s="62"/>
      <c r="C165" s="68" t="s">
        <v>224</v>
      </c>
      <c r="D165" s="62" t="s">
        <v>136</v>
      </c>
      <c r="E165" s="62" t="s">
        <v>136</v>
      </c>
      <c r="F165" s="63" t="s">
        <v>136</v>
      </c>
      <c r="G165" s="62" t="s">
        <v>136</v>
      </c>
      <c r="H165" s="62" t="s">
        <v>136</v>
      </c>
      <c r="I165" s="63" t="s">
        <v>136</v>
      </c>
      <c r="J165" s="62" t="s">
        <v>136</v>
      </c>
    </row>
    <row r="166" spans="1:10" s="69" customFormat="1" ht="38.25">
      <c r="A166" s="97" t="s">
        <v>138</v>
      </c>
      <c r="B166" s="62"/>
      <c r="C166" s="68" t="s">
        <v>139</v>
      </c>
      <c r="D166" s="62"/>
      <c r="E166" s="62"/>
      <c r="F166" s="63"/>
      <c r="G166" s="62"/>
      <c r="H166" s="62"/>
      <c r="I166" s="63"/>
      <c r="J166" s="62"/>
    </row>
    <row r="167" spans="1:10" s="69" customFormat="1" ht="38.25">
      <c r="A167" s="97" t="s">
        <v>140</v>
      </c>
      <c r="B167" s="62"/>
      <c r="C167" s="68" t="s">
        <v>143</v>
      </c>
      <c r="D167" s="62"/>
      <c r="E167" s="62"/>
      <c r="F167" s="63"/>
      <c r="G167" s="62"/>
      <c r="H167" s="62"/>
      <c r="I167" s="63"/>
      <c r="J167" s="62"/>
    </row>
    <row r="168" spans="1:10" s="69" customFormat="1" ht="38.25">
      <c r="A168" s="97" t="s">
        <v>141</v>
      </c>
      <c r="B168" s="62"/>
      <c r="C168" s="68" t="s">
        <v>144</v>
      </c>
      <c r="D168" s="62"/>
      <c r="E168" s="62"/>
      <c r="F168" s="63"/>
      <c r="G168" s="62"/>
      <c r="H168" s="62"/>
      <c r="I168" s="63"/>
      <c r="J168" s="62"/>
    </row>
    <row r="169" spans="1:10" s="69" customFormat="1" ht="38.25">
      <c r="A169" s="97" t="s">
        <v>142</v>
      </c>
      <c r="B169" s="62"/>
      <c r="C169" s="68" t="s">
        <v>145</v>
      </c>
      <c r="D169" s="62"/>
      <c r="E169" s="62"/>
      <c r="F169" s="63"/>
      <c r="G169" s="62"/>
      <c r="H169" s="62"/>
      <c r="I169" s="63"/>
      <c r="J169" s="62"/>
    </row>
    <row r="170" spans="1:10" s="69" customFormat="1">
      <c r="A170" s="97" t="s">
        <v>5</v>
      </c>
      <c r="B170" s="98"/>
      <c r="C170" s="68" t="s">
        <v>115</v>
      </c>
      <c r="D170" s="121"/>
      <c r="E170" s="121"/>
      <c r="F170" s="120"/>
      <c r="G170" s="119"/>
      <c r="H170" s="119"/>
      <c r="I170" s="120"/>
      <c r="J170" s="64"/>
    </row>
    <row r="171" spans="1:10" s="69" customFormat="1" ht="57" customHeight="1">
      <c r="A171" s="97" t="s">
        <v>160</v>
      </c>
      <c r="B171" s="62"/>
      <c r="C171" s="68" t="s">
        <v>225</v>
      </c>
      <c r="D171" s="62" t="s">
        <v>136</v>
      </c>
      <c r="E171" s="62" t="s">
        <v>136</v>
      </c>
      <c r="F171" s="63" t="s">
        <v>136</v>
      </c>
      <c r="G171" s="62" t="s">
        <v>136</v>
      </c>
      <c r="H171" s="62" t="s">
        <v>136</v>
      </c>
      <c r="I171" s="63" t="s">
        <v>136</v>
      </c>
      <c r="J171" s="62" t="s">
        <v>136</v>
      </c>
    </row>
    <row r="172" spans="1:10" s="69" customFormat="1" ht="38.25">
      <c r="A172" s="97" t="s">
        <v>138</v>
      </c>
      <c r="B172" s="62"/>
      <c r="C172" s="68" t="s">
        <v>147</v>
      </c>
      <c r="D172" s="62"/>
      <c r="E172" s="62"/>
      <c r="F172" s="63"/>
      <c r="G172" s="62"/>
      <c r="H172" s="62"/>
      <c r="I172" s="63"/>
      <c r="J172" s="62"/>
    </row>
    <row r="173" spans="1:10" s="69" customFormat="1" ht="38.25">
      <c r="A173" s="97" t="s">
        <v>140</v>
      </c>
      <c r="B173" s="62"/>
      <c r="C173" s="68" t="s">
        <v>148</v>
      </c>
      <c r="D173" s="62"/>
      <c r="E173" s="62"/>
      <c r="F173" s="63"/>
      <c r="G173" s="62"/>
      <c r="H173" s="62"/>
      <c r="I173" s="63"/>
      <c r="J173" s="62"/>
    </row>
    <row r="174" spans="1:10" s="69" customFormat="1" ht="38.25">
      <c r="A174" s="97" t="s">
        <v>141</v>
      </c>
      <c r="B174" s="62"/>
      <c r="C174" s="68" t="s">
        <v>149</v>
      </c>
      <c r="D174" s="62"/>
      <c r="E174" s="62"/>
      <c r="F174" s="63"/>
      <c r="G174" s="62"/>
      <c r="H174" s="62"/>
      <c r="I174" s="63"/>
      <c r="J174" s="62"/>
    </row>
    <row r="175" spans="1:10" s="69" customFormat="1" ht="38.25">
      <c r="A175" s="97" t="s">
        <v>142</v>
      </c>
      <c r="B175" s="62"/>
      <c r="C175" s="68" t="s">
        <v>150</v>
      </c>
      <c r="D175" s="62"/>
      <c r="E175" s="62"/>
      <c r="F175" s="63"/>
      <c r="G175" s="62"/>
      <c r="H175" s="62"/>
      <c r="I175" s="63"/>
      <c r="J175" s="62"/>
    </row>
    <row r="176" spans="1:10" s="69" customFormat="1">
      <c r="A176" s="62" t="s">
        <v>132</v>
      </c>
      <c r="B176" s="62"/>
      <c r="C176" s="68" t="s">
        <v>39</v>
      </c>
      <c r="D176" s="121"/>
      <c r="E176" s="121"/>
      <c r="F176" s="120"/>
      <c r="G176" s="119"/>
      <c r="H176" s="119"/>
      <c r="I176" s="120"/>
      <c r="J176" s="64"/>
    </row>
    <row r="177" spans="1:10" s="69" customFormat="1" ht="89.25">
      <c r="A177" s="97" t="s">
        <v>131</v>
      </c>
      <c r="B177" s="98" t="s">
        <v>120</v>
      </c>
      <c r="C177" s="112"/>
      <c r="D177" s="64" t="s">
        <v>38</v>
      </c>
      <c r="E177" s="64" t="s">
        <v>38</v>
      </c>
      <c r="F177" s="65" t="s">
        <v>38</v>
      </c>
      <c r="G177" s="64" t="s">
        <v>38</v>
      </c>
      <c r="H177" s="64" t="s">
        <v>38</v>
      </c>
      <c r="I177" s="64" t="s">
        <v>38</v>
      </c>
      <c r="J177" s="64"/>
    </row>
    <row r="178" spans="1:10" s="69" customFormat="1">
      <c r="A178" s="97" t="s">
        <v>29</v>
      </c>
      <c r="B178" s="98" t="s">
        <v>70</v>
      </c>
      <c r="C178" s="112"/>
      <c r="D178" s="94">
        <f>D179+D185-D191</f>
        <v>97</v>
      </c>
      <c r="E178" s="122">
        <v>13444831</v>
      </c>
      <c r="F178" s="95">
        <f>F179+F185-F191</f>
        <v>99452.438529999999</v>
      </c>
      <c r="G178" s="94">
        <f>G179+G185-G191</f>
        <v>379</v>
      </c>
      <c r="H178" s="123">
        <f>20201966+4584084+E178</f>
        <v>38230881</v>
      </c>
      <c r="I178" s="95">
        <f>I179+I185-I191</f>
        <v>964260.35554000002</v>
      </c>
      <c r="J178" s="79"/>
    </row>
    <row r="179" spans="1:10" s="69" customFormat="1">
      <c r="A179" s="97" t="s">
        <v>4</v>
      </c>
      <c r="B179" s="98"/>
      <c r="C179" s="68" t="s">
        <v>114</v>
      </c>
      <c r="D179" s="64">
        <v>64</v>
      </c>
      <c r="E179" s="64" t="s">
        <v>27</v>
      </c>
      <c r="F179" s="65">
        <v>51598.949220000002</v>
      </c>
      <c r="G179" s="79">
        <f>135+38+D179</f>
        <v>237</v>
      </c>
      <c r="H179" s="79" t="s">
        <v>27</v>
      </c>
      <c r="I179" s="109">
        <f>344851.21+19083.321+F179</f>
        <v>415533.48022000003</v>
      </c>
      <c r="J179" s="79"/>
    </row>
    <row r="180" spans="1:10" s="69" customFormat="1" ht="57" customHeight="1">
      <c r="A180" s="97" t="s">
        <v>161</v>
      </c>
      <c r="B180" s="62"/>
      <c r="C180" s="68" t="s">
        <v>224</v>
      </c>
      <c r="D180" s="62" t="s">
        <v>136</v>
      </c>
      <c r="E180" s="62" t="s">
        <v>136</v>
      </c>
      <c r="F180" s="63" t="s">
        <v>136</v>
      </c>
      <c r="G180" s="62" t="s">
        <v>136</v>
      </c>
      <c r="H180" s="62" t="s">
        <v>136</v>
      </c>
      <c r="I180" s="63" t="s">
        <v>136</v>
      </c>
      <c r="J180" s="62" t="s">
        <v>136</v>
      </c>
    </row>
    <row r="181" spans="1:10" s="69" customFormat="1" ht="38.25">
      <c r="A181" s="97" t="s">
        <v>138</v>
      </c>
      <c r="B181" s="62"/>
      <c r="C181" s="68" t="s">
        <v>139</v>
      </c>
      <c r="D181" s="62"/>
      <c r="E181" s="62"/>
      <c r="F181" s="63"/>
      <c r="G181" s="124"/>
      <c r="H181" s="124"/>
      <c r="I181" s="125"/>
      <c r="J181" s="124"/>
    </row>
    <row r="182" spans="1:10" s="69" customFormat="1" ht="38.25">
      <c r="A182" s="97" t="s">
        <v>140</v>
      </c>
      <c r="B182" s="62"/>
      <c r="C182" s="68" t="s">
        <v>143</v>
      </c>
      <c r="D182" s="62"/>
      <c r="E182" s="62"/>
      <c r="F182" s="63"/>
      <c r="G182" s="124"/>
      <c r="H182" s="124"/>
      <c r="I182" s="125"/>
      <c r="J182" s="124"/>
    </row>
    <row r="183" spans="1:10" s="69" customFormat="1" ht="38.25">
      <c r="A183" s="97" t="s">
        <v>141</v>
      </c>
      <c r="B183" s="62"/>
      <c r="C183" s="68" t="s">
        <v>144</v>
      </c>
      <c r="D183" s="62"/>
      <c r="E183" s="62"/>
      <c r="F183" s="63"/>
      <c r="G183" s="124"/>
      <c r="H183" s="124"/>
      <c r="I183" s="125"/>
      <c r="J183" s="124"/>
    </row>
    <row r="184" spans="1:10" s="69" customFormat="1" ht="38.25">
      <c r="A184" s="97" t="s">
        <v>142</v>
      </c>
      <c r="B184" s="62"/>
      <c r="C184" s="68" t="s">
        <v>145</v>
      </c>
      <c r="D184" s="62"/>
      <c r="E184" s="62"/>
      <c r="F184" s="63"/>
      <c r="G184" s="124"/>
      <c r="H184" s="124"/>
      <c r="I184" s="125"/>
      <c r="J184" s="124"/>
    </row>
    <row r="185" spans="1:10" s="69" customFormat="1" ht="114" customHeight="1">
      <c r="A185" s="97" t="s">
        <v>5</v>
      </c>
      <c r="B185" s="98"/>
      <c r="C185" s="68" t="s">
        <v>115</v>
      </c>
      <c r="D185" s="64">
        <v>33</v>
      </c>
      <c r="E185" s="64" t="s">
        <v>27</v>
      </c>
      <c r="F185" s="65">
        <v>47853.489309999997</v>
      </c>
      <c r="G185" s="79">
        <f>62+47+D185</f>
        <v>142</v>
      </c>
      <c r="H185" s="79" t="s">
        <v>27</v>
      </c>
      <c r="I185" s="109">
        <f>400377.88+17640+82855.50601+F185</f>
        <v>548726.87531999999</v>
      </c>
      <c r="J185" s="113" t="s">
        <v>276</v>
      </c>
    </row>
    <row r="186" spans="1:10" s="69" customFormat="1" ht="57" customHeight="1">
      <c r="A186" s="97" t="s">
        <v>161</v>
      </c>
      <c r="B186" s="62"/>
      <c r="C186" s="68" t="s">
        <v>225</v>
      </c>
      <c r="D186" s="62" t="s">
        <v>136</v>
      </c>
      <c r="E186" s="62" t="s">
        <v>136</v>
      </c>
      <c r="F186" s="63" t="s">
        <v>136</v>
      </c>
      <c r="G186" s="62" t="s">
        <v>136</v>
      </c>
      <c r="H186" s="62" t="s">
        <v>136</v>
      </c>
      <c r="I186" s="63" t="s">
        <v>136</v>
      </c>
      <c r="J186" s="62" t="s">
        <v>136</v>
      </c>
    </row>
    <row r="187" spans="1:10" s="69" customFormat="1" ht="38.25">
      <c r="A187" s="97" t="s">
        <v>138</v>
      </c>
      <c r="B187" s="62"/>
      <c r="C187" s="68" t="s">
        <v>147</v>
      </c>
      <c r="D187" s="62"/>
      <c r="E187" s="62"/>
      <c r="F187" s="63"/>
      <c r="G187" s="62"/>
      <c r="H187" s="62"/>
      <c r="I187" s="63"/>
      <c r="J187" s="62"/>
    </row>
    <row r="188" spans="1:10" s="69" customFormat="1" ht="38.25">
      <c r="A188" s="97" t="s">
        <v>140</v>
      </c>
      <c r="B188" s="62"/>
      <c r="C188" s="68" t="s">
        <v>148</v>
      </c>
      <c r="D188" s="62"/>
      <c r="E188" s="62"/>
      <c r="F188" s="63"/>
      <c r="G188" s="62"/>
      <c r="H188" s="62"/>
      <c r="I188" s="63"/>
      <c r="J188" s="62"/>
    </row>
    <row r="189" spans="1:10" s="69" customFormat="1" ht="38.25">
      <c r="A189" s="97" t="s">
        <v>141</v>
      </c>
      <c r="B189" s="62"/>
      <c r="C189" s="68" t="s">
        <v>149</v>
      </c>
      <c r="D189" s="62"/>
      <c r="E189" s="62"/>
      <c r="F189" s="63"/>
      <c r="G189" s="62"/>
      <c r="H189" s="62"/>
      <c r="I189" s="63"/>
      <c r="J189" s="62"/>
    </row>
    <row r="190" spans="1:10" s="69" customFormat="1" ht="38.25">
      <c r="A190" s="97" t="s">
        <v>142</v>
      </c>
      <c r="B190" s="62"/>
      <c r="C190" s="68" t="s">
        <v>150</v>
      </c>
      <c r="D190" s="62"/>
      <c r="E190" s="62"/>
      <c r="F190" s="63"/>
      <c r="G190" s="62"/>
      <c r="H190" s="62"/>
      <c r="I190" s="63"/>
      <c r="J190" s="62"/>
    </row>
    <row r="191" spans="1:10" s="69" customFormat="1">
      <c r="A191" s="62" t="s">
        <v>132</v>
      </c>
      <c r="B191" s="62"/>
      <c r="C191" s="68" t="s">
        <v>39</v>
      </c>
      <c r="D191" s="64"/>
      <c r="E191" s="64"/>
      <c r="F191" s="65"/>
      <c r="G191" s="64"/>
      <c r="H191" s="64"/>
      <c r="I191" s="65"/>
      <c r="J191" s="64"/>
    </row>
    <row r="192" spans="1:10" s="69" customFormat="1">
      <c r="A192" s="97" t="s">
        <v>30</v>
      </c>
      <c r="B192" s="98" t="s">
        <v>71</v>
      </c>
      <c r="C192" s="112"/>
      <c r="D192" s="94">
        <f>D193+D199-D205</f>
        <v>322</v>
      </c>
      <c r="E192" s="123">
        <f>E31-E178</f>
        <v>6310272</v>
      </c>
      <c r="F192" s="95">
        <f>F193+F199-F205</f>
        <v>1882898.5106900004</v>
      </c>
      <c r="G192" s="94">
        <f>G193+G199-G205</f>
        <v>1081</v>
      </c>
      <c r="H192" s="123">
        <f>H31-H178</f>
        <v>72793633</v>
      </c>
      <c r="I192" s="95">
        <f>I193+I199-I205</f>
        <v>9711953.9906900022</v>
      </c>
      <c r="J192" s="64"/>
    </row>
    <row r="193" spans="1:10" s="69" customFormat="1">
      <c r="A193" s="97" t="s">
        <v>4</v>
      </c>
      <c r="B193" s="98"/>
      <c r="C193" s="68" t="s">
        <v>114</v>
      </c>
      <c r="D193" s="126">
        <f>D32-D179</f>
        <v>177</v>
      </c>
      <c r="E193" s="64" t="s">
        <v>27</v>
      </c>
      <c r="F193" s="65">
        <f>F32-F179</f>
        <v>1418163.6406900003</v>
      </c>
      <c r="G193" s="126">
        <f>237+154+D193</f>
        <v>568</v>
      </c>
      <c r="H193" s="64" t="s">
        <v>27</v>
      </c>
      <c r="I193" s="65">
        <f>4402029.1+2354942.97+F193</f>
        <v>8175135.710690001</v>
      </c>
      <c r="J193" s="85"/>
    </row>
    <row r="194" spans="1:10" s="69" customFormat="1" ht="59.25" customHeight="1">
      <c r="A194" s="97" t="s">
        <v>146</v>
      </c>
      <c r="B194" s="62"/>
      <c r="C194" s="68" t="s">
        <v>224</v>
      </c>
      <c r="D194" s="62" t="s">
        <v>136</v>
      </c>
      <c r="E194" s="62" t="s">
        <v>136</v>
      </c>
      <c r="F194" s="63" t="s">
        <v>136</v>
      </c>
      <c r="G194" s="62" t="s">
        <v>136</v>
      </c>
      <c r="H194" s="62" t="s">
        <v>136</v>
      </c>
      <c r="I194" s="63" t="s">
        <v>136</v>
      </c>
      <c r="J194" s="62" t="s">
        <v>136</v>
      </c>
    </row>
    <row r="195" spans="1:10" s="69" customFormat="1" ht="38.25">
      <c r="A195" s="97" t="s">
        <v>138</v>
      </c>
      <c r="B195" s="62"/>
      <c r="C195" s="68" t="s">
        <v>139</v>
      </c>
      <c r="D195" s="62"/>
      <c r="E195" s="62"/>
      <c r="F195" s="63"/>
      <c r="G195" s="62"/>
      <c r="H195" s="62"/>
      <c r="I195" s="63"/>
      <c r="J195" s="62"/>
    </row>
    <row r="196" spans="1:10" s="69" customFormat="1" ht="38.25">
      <c r="A196" s="97" t="s">
        <v>140</v>
      </c>
      <c r="B196" s="62"/>
      <c r="C196" s="68" t="s">
        <v>143</v>
      </c>
      <c r="D196" s="62"/>
      <c r="E196" s="62"/>
      <c r="F196" s="63"/>
      <c r="G196" s="62"/>
      <c r="H196" s="62"/>
      <c r="I196" s="63"/>
      <c r="J196" s="62"/>
    </row>
    <row r="197" spans="1:10" s="69" customFormat="1" ht="38.25">
      <c r="A197" s="97" t="s">
        <v>141</v>
      </c>
      <c r="B197" s="62"/>
      <c r="C197" s="68" t="s">
        <v>144</v>
      </c>
      <c r="D197" s="62"/>
      <c r="E197" s="62"/>
      <c r="F197" s="63"/>
      <c r="G197" s="62"/>
      <c r="H197" s="62"/>
      <c r="I197" s="63"/>
      <c r="J197" s="62"/>
    </row>
    <row r="198" spans="1:10" s="69" customFormat="1" ht="38.25">
      <c r="A198" s="97" t="s">
        <v>142</v>
      </c>
      <c r="B198" s="62"/>
      <c r="C198" s="68" t="s">
        <v>145</v>
      </c>
      <c r="D198" s="62"/>
      <c r="E198" s="62"/>
      <c r="F198" s="63"/>
      <c r="G198" s="62"/>
      <c r="H198" s="62"/>
      <c r="I198" s="63"/>
      <c r="J198" s="62"/>
    </row>
    <row r="199" spans="1:10" s="69" customFormat="1">
      <c r="A199" s="97" t="s">
        <v>5</v>
      </c>
      <c r="B199" s="98"/>
      <c r="C199" s="68" t="s">
        <v>115</v>
      </c>
      <c r="D199" s="126">
        <f>D33-D185</f>
        <v>145</v>
      </c>
      <c r="E199" s="64" t="s">
        <v>27</v>
      </c>
      <c r="F199" s="65">
        <f>F33-F185</f>
        <v>464734.87</v>
      </c>
      <c r="G199" s="126">
        <f>174+196+D199</f>
        <v>515</v>
      </c>
      <c r="H199" s="64" t="s">
        <v>27</v>
      </c>
      <c r="I199" s="65">
        <f>835693.89+431434.31+F199</f>
        <v>1731863.0699999998</v>
      </c>
      <c r="J199" s="64"/>
    </row>
    <row r="200" spans="1:10" s="69" customFormat="1" ht="57" customHeight="1">
      <c r="A200" s="97" t="s">
        <v>146</v>
      </c>
      <c r="B200" s="62"/>
      <c r="C200" s="68" t="s">
        <v>225</v>
      </c>
      <c r="D200" s="62" t="s">
        <v>136</v>
      </c>
      <c r="E200" s="62" t="s">
        <v>136</v>
      </c>
      <c r="F200" s="63" t="s">
        <v>136</v>
      </c>
      <c r="G200" s="62" t="s">
        <v>136</v>
      </c>
      <c r="H200" s="62" t="s">
        <v>136</v>
      </c>
      <c r="I200" s="63" t="s">
        <v>136</v>
      </c>
      <c r="J200" s="62" t="s">
        <v>136</v>
      </c>
    </row>
    <row r="201" spans="1:10" s="69" customFormat="1" ht="38.25">
      <c r="A201" s="97" t="s">
        <v>138</v>
      </c>
      <c r="B201" s="62"/>
      <c r="C201" s="68" t="s">
        <v>147</v>
      </c>
      <c r="D201" s="62"/>
      <c r="E201" s="62"/>
      <c r="F201" s="63"/>
      <c r="G201" s="62"/>
      <c r="H201" s="62"/>
      <c r="I201" s="63"/>
      <c r="J201" s="62"/>
    </row>
    <row r="202" spans="1:10" s="69" customFormat="1" ht="38.25">
      <c r="A202" s="97" t="s">
        <v>140</v>
      </c>
      <c r="B202" s="62"/>
      <c r="C202" s="68" t="s">
        <v>148</v>
      </c>
      <c r="D202" s="62"/>
      <c r="E202" s="62"/>
      <c r="F202" s="63"/>
      <c r="G202" s="62"/>
      <c r="H202" s="62"/>
      <c r="I202" s="63"/>
      <c r="J202" s="62"/>
    </row>
    <row r="203" spans="1:10" s="69" customFormat="1" ht="38.25">
      <c r="A203" s="97" t="s">
        <v>141</v>
      </c>
      <c r="B203" s="62"/>
      <c r="C203" s="68" t="s">
        <v>149</v>
      </c>
      <c r="D203" s="62"/>
      <c r="E203" s="62"/>
      <c r="F203" s="63"/>
      <c r="G203" s="62"/>
      <c r="H203" s="62"/>
      <c r="I203" s="63"/>
      <c r="J203" s="62"/>
    </row>
    <row r="204" spans="1:10" s="69" customFormat="1" ht="38.25">
      <c r="A204" s="97" t="s">
        <v>142</v>
      </c>
      <c r="B204" s="62"/>
      <c r="C204" s="68" t="s">
        <v>150</v>
      </c>
      <c r="D204" s="62"/>
      <c r="E204" s="62"/>
      <c r="F204" s="63"/>
      <c r="G204" s="62"/>
      <c r="H204" s="62"/>
      <c r="I204" s="63"/>
      <c r="J204" s="62"/>
    </row>
    <row r="205" spans="1:10" s="69" customFormat="1">
      <c r="A205" s="62" t="s">
        <v>132</v>
      </c>
      <c r="B205" s="62"/>
      <c r="C205" s="68" t="s">
        <v>39</v>
      </c>
      <c r="D205" s="126">
        <f>D34-D191</f>
        <v>0</v>
      </c>
      <c r="E205" s="126">
        <f t="shared" ref="E205:F205" si="30">E34-E191</f>
        <v>0</v>
      </c>
      <c r="F205" s="127">
        <f t="shared" si="30"/>
        <v>0</v>
      </c>
      <c r="G205" s="126">
        <f>1+1</f>
        <v>2</v>
      </c>
      <c r="H205" s="64">
        <f>100+4</f>
        <v>104</v>
      </c>
      <c r="I205" s="65">
        <f>195036.64+8.15</f>
        <v>195044.79</v>
      </c>
      <c r="J205" s="64"/>
    </row>
    <row r="206" spans="1:10" s="69" customFormat="1" ht="25.5">
      <c r="A206" s="97" t="s">
        <v>31</v>
      </c>
      <c r="B206" s="98" t="s">
        <v>72</v>
      </c>
      <c r="C206" s="112"/>
      <c r="D206" s="118">
        <f>D207+D213-D219</f>
        <v>0</v>
      </c>
      <c r="E206" s="122"/>
      <c r="F206" s="95">
        <f>F207+F213-F219</f>
        <v>0</v>
      </c>
      <c r="G206" s="94">
        <f>G207+G213-G219</f>
        <v>0</v>
      </c>
      <c r="H206" s="123"/>
      <c r="I206" s="95">
        <f>I207+I213-I219</f>
        <v>0</v>
      </c>
      <c r="J206" s="64"/>
    </row>
    <row r="207" spans="1:10" s="69" customFormat="1">
      <c r="A207" s="97" t="s">
        <v>4</v>
      </c>
      <c r="B207" s="98"/>
      <c r="C207" s="68" t="s">
        <v>114</v>
      </c>
      <c r="D207" s="64"/>
      <c r="E207" s="64" t="s">
        <v>27</v>
      </c>
      <c r="F207" s="65"/>
      <c r="G207" s="64"/>
      <c r="H207" s="64" t="s">
        <v>27</v>
      </c>
      <c r="I207" s="65"/>
      <c r="J207" s="64"/>
    </row>
    <row r="208" spans="1:10" s="69" customFormat="1" ht="38.25" customHeight="1">
      <c r="A208" s="97" t="s">
        <v>162</v>
      </c>
      <c r="B208" s="62"/>
      <c r="C208" s="68" t="s">
        <v>224</v>
      </c>
      <c r="D208" s="62" t="s">
        <v>136</v>
      </c>
      <c r="E208" s="62" t="s">
        <v>136</v>
      </c>
      <c r="F208" s="63" t="s">
        <v>136</v>
      </c>
      <c r="G208" s="62" t="s">
        <v>136</v>
      </c>
      <c r="H208" s="62" t="s">
        <v>136</v>
      </c>
      <c r="I208" s="63" t="s">
        <v>136</v>
      </c>
      <c r="J208" s="62" t="s">
        <v>136</v>
      </c>
    </row>
    <row r="209" spans="1:10" s="69" customFormat="1" ht="38.25">
      <c r="A209" s="97" t="s">
        <v>138</v>
      </c>
      <c r="B209" s="62"/>
      <c r="C209" s="68" t="s">
        <v>139</v>
      </c>
      <c r="D209" s="62"/>
      <c r="E209" s="62"/>
      <c r="F209" s="63"/>
      <c r="G209" s="62"/>
      <c r="H209" s="62"/>
      <c r="I209" s="63"/>
      <c r="J209" s="62"/>
    </row>
    <row r="210" spans="1:10" s="69" customFormat="1" ht="38.25">
      <c r="A210" s="97" t="s">
        <v>140</v>
      </c>
      <c r="B210" s="62"/>
      <c r="C210" s="68" t="s">
        <v>143</v>
      </c>
      <c r="D210" s="62"/>
      <c r="E210" s="62"/>
      <c r="F210" s="63"/>
      <c r="G210" s="62"/>
      <c r="H210" s="62"/>
      <c r="I210" s="63"/>
      <c r="J210" s="62"/>
    </row>
    <row r="211" spans="1:10" s="69" customFormat="1" ht="38.25">
      <c r="A211" s="97" t="s">
        <v>141</v>
      </c>
      <c r="B211" s="62"/>
      <c r="C211" s="68" t="s">
        <v>144</v>
      </c>
      <c r="D211" s="62"/>
      <c r="E211" s="62"/>
      <c r="F211" s="63"/>
      <c r="G211" s="62"/>
      <c r="H211" s="62"/>
      <c r="I211" s="63"/>
      <c r="J211" s="62"/>
    </row>
    <row r="212" spans="1:10" s="69" customFormat="1" ht="38.25">
      <c r="A212" s="97" t="s">
        <v>142</v>
      </c>
      <c r="B212" s="62"/>
      <c r="C212" s="68" t="s">
        <v>145</v>
      </c>
      <c r="D212" s="62"/>
      <c r="E212" s="62"/>
      <c r="F212" s="63"/>
      <c r="G212" s="62"/>
      <c r="H212" s="62"/>
      <c r="I212" s="63"/>
      <c r="J212" s="62"/>
    </row>
    <row r="213" spans="1:10" s="69" customFormat="1">
      <c r="A213" s="97" t="s">
        <v>5</v>
      </c>
      <c r="B213" s="98"/>
      <c r="C213" s="68" t="s">
        <v>115</v>
      </c>
      <c r="D213" s="64"/>
      <c r="E213" s="64" t="s">
        <v>27</v>
      </c>
      <c r="F213" s="65"/>
      <c r="G213" s="64"/>
      <c r="H213" s="64" t="s">
        <v>27</v>
      </c>
      <c r="I213" s="65"/>
      <c r="J213" s="64"/>
    </row>
    <row r="214" spans="1:10" s="69" customFormat="1" ht="43.5" customHeight="1">
      <c r="A214" s="97" t="s">
        <v>162</v>
      </c>
      <c r="B214" s="62"/>
      <c r="C214" s="68" t="s">
        <v>225</v>
      </c>
      <c r="D214" s="62" t="s">
        <v>136</v>
      </c>
      <c r="E214" s="62" t="s">
        <v>136</v>
      </c>
      <c r="F214" s="63" t="s">
        <v>136</v>
      </c>
      <c r="G214" s="62" t="s">
        <v>136</v>
      </c>
      <c r="H214" s="62" t="s">
        <v>136</v>
      </c>
      <c r="I214" s="63" t="s">
        <v>136</v>
      </c>
      <c r="J214" s="62" t="s">
        <v>136</v>
      </c>
    </row>
    <row r="215" spans="1:10" s="69" customFormat="1" ht="38.25">
      <c r="A215" s="97" t="s">
        <v>138</v>
      </c>
      <c r="B215" s="62"/>
      <c r="C215" s="68" t="s">
        <v>147</v>
      </c>
      <c r="D215" s="62"/>
      <c r="E215" s="62"/>
      <c r="F215" s="63"/>
      <c r="G215" s="62"/>
      <c r="H215" s="62"/>
      <c r="I215" s="63"/>
      <c r="J215" s="62"/>
    </row>
    <row r="216" spans="1:10" s="69" customFormat="1" ht="38.25">
      <c r="A216" s="97" t="s">
        <v>140</v>
      </c>
      <c r="B216" s="62"/>
      <c r="C216" s="68" t="s">
        <v>148</v>
      </c>
      <c r="D216" s="62"/>
      <c r="E216" s="62"/>
      <c r="F216" s="63"/>
      <c r="G216" s="62"/>
      <c r="H216" s="62"/>
      <c r="I216" s="63"/>
      <c r="J216" s="62"/>
    </row>
    <row r="217" spans="1:10" s="69" customFormat="1" ht="38.25">
      <c r="A217" s="97" t="s">
        <v>141</v>
      </c>
      <c r="B217" s="62"/>
      <c r="C217" s="68" t="s">
        <v>149</v>
      </c>
      <c r="D217" s="62"/>
      <c r="E217" s="62"/>
      <c r="F217" s="63"/>
      <c r="G217" s="62"/>
      <c r="H217" s="62"/>
      <c r="I217" s="63"/>
      <c r="J217" s="62"/>
    </row>
    <row r="218" spans="1:10" s="69" customFormat="1" ht="38.25">
      <c r="A218" s="97" t="s">
        <v>142</v>
      </c>
      <c r="B218" s="62"/>
      <c r="C218" s="68" t="s">
        <v>150</v>
      </c>
      <c r="D218" s="62"/>
      <c r="E218" s="62"/>
      <c r="F218" s="63"/>
      <c r="G218" s="62"/>
      <c r="H218" s="62"/>
      <c r="I218" s="63"/>
      <c r="J218" s="62"/>
    </row>
    <row r="219" spans="1:10" s="69" customFormat="1">
      <c r="A219" s="62" t="s">
        <v>132</v>
      </c>
      <c r="B219" s="62"/>
      <c r="C219" s="68" t="s">
        <v>39</v>
      </c>
      <c r="D219" s="128"/>
      <c r="E219" s="128"/>
      <c r="F219" s="129"/>
      <c r="G219" s="128"/>
      <c r="H219" s="128"/>
      <c r="I219" s="129"/>
      <c r="J219" s="64"/>
    </row>
    <row r="220" spans="1:10" s="69" customFormat="1" ht="154.5" customHeight="1">
      <c r="A220" s="97" t="s">
        <v>32</v>
      </c>
      <c r="B220" s="98" t="s">
        <v>73</v>
      </c>
      <c r="C220" s="112"/>
      <c r="D220" s="94">
        <v>4</v>
      </c>
      <c r="E220" s="94">
        <v>1518</v>
      </c>
      <c r="F220" s="95">
        <v>191.95400000000001</v>
      </c>
      <c r="G220" s="94">
        <f>1+5+D220</f>
        <v>10</v>
      </c>
      <c r="H220" s="94">
        <f>569539+1550+E220</f>
        <v>572607</v>
      </c>
      <c r="I220" s="95">
        <f>9265.7+264.4958+F220</f>
        <v>9722.1498000000011</v>
      </c>
      <c r="J220" s="85" t="s">
        <v>280</v>
      </c>
    </row>
    <row r="221" spans="1:10" s="69" customFormat="1" ht="89.25" customHeight="1">
      <c r="A221" s="97" t="s">
        <v>163</v>
      </c>
      <c r="B221" s="98" t="s">
        <v>164</v>
      </c>
      <c r="C221" s="68" t="s">
        <v>136</v>
      </c>
      <c r="D221" s="62" t="s">
        <v>136</v>
      </c>
      <c r="E221" s="62" t="s">
        <v>136</v>
      </c>
      <c r="F221" s="63" t="s">
        <v>136</v>
      </c>
      <c r="G221" s="62" t="s">
        <v>136</v>
      </c>
      <c r="H221" s="62" t="s">
        <v>136</v>
      </c>
      <c r="I221" s="63" t="s">
        <v>136</v>
      </c>
      <c r="J221" s="62" t="s">
        <v>136</v>
      </c>
    </row>
    <row r="222" spans="1:10" s="69" customFormat="1" ht="38.25">
      <c r="A222" s="97" t="s">
        <v>138</v>
      </c>
      <c r="B222" s="62"/>
      <c r="C222" s="68" t="s">
        <v>165</v>
      </c>
      <c r="D222" s="62"/>
      <c r="E222" s="62"/>
      <c r="F222" s="63"/>
      <c r="G222" s="62"/>
      <c r="H222" s="62"/>
      <c r="I222" s="63"/>
      <c r="J222" s="62"/>
    </row>
    <row r="223" spans="1:10" s="69" customFormat="1" ht="38.25">
      <c r="A223" s="97" t="s">
        <v>140</v>
      </c>
      <c r="B223" s="62"/>
      <c r="C223" s="68" t="s">
        <v>166</v>
      </c>
      <c r="D223" s="62"/>
      <c r="E223" s="62"/>
      <c r="F223" s="63"/>
      <c r="G223" s="62"/>
      <c r="H223" s="62"/>
      <c r="I223" s="63"/>
      <c r="J223" s="62"/>
    </row>
    <row r="224" spans="1:10" s="69" customFormat="1" ht="38.25">
      <c r="A224" s="97" t="s">
        <v>141</v>
      </c>
      <c r="B224" s="62"/>
      <c r="C224" s="68" t="s">
        <v>167</v>
      </c>
      <c r="D224" s="62"/>
      <c r="E224" s="62"/>
      <c r="F224" s="63"/>
      <c r="G224" s="62"/>
      <c r="H224" s="62"/>
      <c r="I224" s="63"/>
      <c r="J224" s="62"/>
    </row>
    <row r="225" spans="1:10" s="69" customFormat="1" ht="38.25">
      <c r="A225" s="97" t="s">
        <v>142</v>
      </c>
      <c r="B225" s="62"/>
      <c r="C225" s="68" t="s">
        <v>168</v>
      </c>
      <c r="D225" s="62"/>
      <c r="E225" s="62"/>
      <c r="F225" s="63"/>
      <c r="G225" s="62"/>
      <c r="H225" s="62"/>
      <c r="I225" s="63"/>
      <c r="J225" s="62"/>
    </row>
    <row r="226" spans="1:10" s="69" customFormat="1" ht="64.5" customHeight="1">
      <c r="A226" s="97" t="s">
        <v>169</v>
      </c>
      <c r="B226" s="98" t="s">
        <v>170</v>
      </c>
      <c r="C226" s="68" t="s">
        <v>136</v>
      </c>
      <c r="D226" s="62" t="s">
        <v>136</v>
      </c>
      <c r="E226" s="62" t="s">
        <v>136</v>
      </c>
      <c r="F226" s="63" t="s">
        <v>136</v>
      </c>
      <c r="G226" s="62" t="s">
        <v>136</v>
      </c>
      <c r="H226" s="62" t="s">
        <v>136</v>
      </c>
      <c r="I226" s="63" t="s">
        <v>136</v>
      </c>
      <c r="J226" s="62" t="s">
        <v>136</v>
      </c>
    </row>
    <row r="227" spans="1:10" s="69" customFormat="1" ht="38.25">
      <c r="A227" s="97" t="s">
        <v>138</v>
      </c>
      <c r="B227" s="62"/>
      <c r="C227" s="68" t="s">
        <v>171</v>
      </c>
      <c r="D227" s="62"/>
      <c r="E227" s="62"/>
      <c r="F227" s="63"/>
      <c r="G227" s="62"/>
      <c r="H227" s="62"/>
      <c r="I227" s="63"/>
      <c r="J227" s="62"/>
    </row>
    <row r="228" spans="1:10" s="69" customFormat="1" ht="38.25">
      <c r="A228" s="97" t="s">
        <v>140</v>
      </c>
      <c r="B228" s="62"/>
      <c r="C228" s="68" t="s">
        <v>172</v>
      </c>
      <c r="D228" s="62"/>
      <c r="E228" s="62"/>
      <c r="F228" s="63"/>
      <c r="G228" s="62"/>
      <c r="H228" s="62"/>
      <c r="I228" s="63"/>
      <c r="J228" s="62"/>
    </row>
    <row r="229" spans="1:10" s="69" customFormat="1" ht="38.25">
      <c r="A229" s="97" t="s">
        <v>141</v>
      </c>
      <c r="B229" s="62"/>
      <c r="C229" s="68" t="s">
        <v>173</v>
      </c>
      <c r="D229" s="62"/>
      <c r="E229" s="62"/>
      <c r="F229" s="63"/>
      <c r="G229" s="62"/>
      <c r="H229" s="62"/>
      <c r="I229" s="63"/>
      <c r="J229" s="62"/>
    </row>
    <row r="230" spans="1:10" s="69" customFormat="1" ht="38.25">
      <c r="A230" s="97" t="s">
        <v>142</v>
      </c>
      <c r="B230" s="62"/>
      <c r="C230" s="68" t="s">
        <v>174</v>
      </c>
      <c r="D230" s="62"/>
      <c r="E230" s="62"/>
      <c r="F230" s="63"/>
      <c r="G230" s="62"/>
      <c r="H230" s="62"/>
      <c r="I230" s="63"/>
      <c r="J230" s="62"/>
    </row>
    <row r="231" spans="1:10" s="69" customFormat="1" ht="93.75" customHeight="1">
      <c r="A231" s="62" t="s">
        <v>134</v>
      </c>
      <c r="B231" s="62"/>
      <c r="C231" s="68" t="s">
        <v>39</v>
      </c>
      <c r="D231" s="94">
        <v>1</v>
      </c>
      <c r="E231" s="94">
        <v>1500</v>
      </c>
      <c r="F231" s="95">
        <v>150</v>
      </c>
      <c r="G231" s="94">
        <f>0+1+D231</f>
        <v>2</v>
      </c>
      <c r="H231" s="94">
        <f>0+12+E231</f>
        <v>1512</v>
      </c>
      <c r="I231" s="95">
        <f>0+27.803+F231</f>
        <v>177.803</v>
      </c>
      <c r="J231" s="66" t="s">
        <v>281</v>
      </c>
    </row>
    <row r="232" spans="1:10" s="69" customFormat="1" ht="25.5">
      <c r="A232" s="97" t="s">
        <v>33</v>
      </c>
      <c r="B232" s="98" t="s">
        <v>74</v>
      </c>
      <c r="C232" s="112"/>
      <c r="D232" s="64"/>
      <c r="E232" s="86" t="s">
        <v>27</v>
      </c>
      <c r="F232" s="86" t="s">
        <v>28</v>
      </c>
      <c r="G232" s="86"/>
      <c r="H232" s="86" t="s">
        <v>27</v>
      </c>
      <c r="I232" s="86" t="s">
        <v>28</v>
      </c>
      <c r="J232" s="64"/>
    </row>
    <row r="233" spans="1:10" s="69" customFormat="1" ht="102">
      <c r="A233" s="97" t="s">
        <v>175</v>
      </c>
      <c r="B233" s="98" t="s">
        <v>34</v>
      </c>
      <c r="C233" s="112" t="s">
        <v>121</v>
      </c>
      <c r="D233" s="86" t="s">
        <v>27</v>
      </c>
      <c r="E233" s="77"/>
      <c r="F233" s="78"/>
      <c r="G233" s="86" t="s">
        <v>27</v>
      </c>
      <c r="H233" s="77"/>
      <c r="I233" s="78"/>
      <c r="J233" s="64"/>
    </row>
    <row r="234" spans="1:10" s="69" customFormat="1" ht="116.25" customHeight="1">
      <c r="A234" s="97" t="s">
        <v>176</v>
      </c>
      <c r="B234" s="98" t="s">
        <v>35</v>
      </c>
      <c r="C234" s="112" t="s">
        <v>133</v>
      </c>
      <c r="D234" s="64" t="s">
        <v>38</v>
      </c>
      <c r="E234" s="64"/>
      <c r="F234" s="65"/>
      <c r="G234" s="64" t="s">
        <v>38</v>
      </c>
      <c r="H234" s="64"/>
      <c r="I234" s="65"/>
      <c r="J234" s="64"/>
    </row>
    <row r="235" spans="1:10" s="69" customFormat="1" ht="76.5">
      <c r="A235" s="97" t="s">
        <v>118</v>
      </c>
      <c r="B235" s="98" t="s">
        <v>40</v>
      </c>
      <c r="C235" s="112"/>
      <c r="D235" s="64">
        <v>25</v>
      </c>
      <c r="E235" s="64" t="s">
        <v>41</v>
      </c>
      <c r="F235" s="65">
        <v>502.72350999999998</v>
      </c>
      <c r="G235" s="64">
        <f>177+29+D235</f>
        <v>231</v>
      </c>
      <c r="H235" s="64" t="s">
        <v>41</v>
      </c>
      <c r="I235" s="65">
        <f>477.06979+408.91672+68458.52302+F235</f>
        <v>69847.233039999992</v>
      </c>
      <c r="J235" s="64"/>
    </row>
    <row r="236" spans="1:10" s="69" customFormat="1" ht="64.5" customHeight="1">
      <c r="A236" s="97" t="s">
        <v>179</v>
      </c>
      <c r="B236" s="98"/>
      <c r="C236" s="68" t="s">
        <v>136</v>
      </c>
      <c r="D236" s="62" t="s">
        <v>136</v>
      </c>
      <c r="E236" s="62" t="s">
        <v>136</v>
      </c>
      <c r="F236" s="63" t="s">
        <v>136</v>
      </c>
      <c r="G236" s="62" t="s">
        <v>136</v>
      </c>
      <c r="H236" s="62" t="s">
        <v>136</v>
      </c>
      <c r="I236" s="63" t="s">
        <v>136</v>
      </c>
      <c r="J236" s="62" t="s">
        <v>136</v>
      </c>
    </row>
    <row r="237" spans="1:10" s="69" customFormat="1" ht="38.25">
      <c r="A237" s="97" t="s">
        <v>138</v>
      </c>
      <c r="B237" s="62"/>
      <c r="C237" s="68" t="s">
        <v>171</v>
      </c>
      <c r="D237" s="62"/>
      <c r="E237" s="62"/>
      <c r="F237" s="63"/>
      <c r="G237" s="62"/>
      <c r="H237" s="62"/>
      <c r="I237" s="63"/>
      <c r="J237" s="62"/>
    </row>
    <row r="238" spans="1:10" s="69" customFormat="1" ht="38.25">
      <c r="A238" s="97" t="s">
        <v>140</v>
      </c>
      <c r="B238" s="62"/>
      <c r="C238" s="68" t="s">
        <v>172</v>
      </c>
      <c r="D238" s="62"/>
      <c r="E238" s="62"/>
      <c r="F238" s="63"/>
      <c r="G238" s="62"/>
      <c r="H238" s="62"/>
      <c r="I238" s="63"/>
      <c r="J238" s="62"/>
    </row>
    <row r="239" spans="1:10" s="69" customFormat="1" ht="38.25">
      <c r="A239" s="97" t="s">
        <v>141</v>
      </c>
      <c r="B239" s="62"/>
      <c r="C239" s="68" t="s">
        <v>173</v>
      </c>
      <c r="D239" s="62"/>
      <c r="E239" s="62"/>
      <c r="F239" s="63"/>
      <c r="G239" s="62"/>
      <c r="H239" s="62"/>
      <c r="I239" s="63"/>
      <c r="J239" s="62"/>
    </row>
    <row r="240" spans="1:10" s="69" customFormat="1" ht="38.25">
      <c r="A240" s="97" t="s">
        <v>142</v>
      </c>
      <c r="B240" s="62"/>
      <c r="C240" s="68" t="s">
        <v>174</v>
      </c>
      <c r="D240" s="62"/>
      <c r="E240" s="62"/>
      <c r="F240" s="63"/>
      <c r="G240" s="62"/>
      <c r="H240" s="62"/>
      <c r="I240" s="63"/>
      <c r="J240" s="62"/>
    </row>
    <row r="241" spans="1:10" s="69" customFormat="1" ht="25.5">
      <c r="A241" s="62" t="s">
        <v>134</v>
      </c>
      <c r="B241" s="62"/>
      <c r="C241" s="68" t="s">
        <v>39</v>
      </c>
      <c r="D241" s="64">
        <v>0</v>
      </c>
      <c r="E241" s="64"/>
      <c r="F241" s="65"/>
      <c r="G241" s="64"/>
      <c r="H241" s="64"/>
      <c r="I241" s="65"/>
      <c r="J241" s="64"/>
    </row>
    <row r="242" spans="1:10" s="69" customFormat="1" ht="25.5">
      <c r="A242" s="97" t="s">
        <v>92</v>
      </c>
      <c r="B242" s="98" t="s">
        <v>93</v>
      </c>
      <c r="C242" s="112"/>
      <c r="D242" s="62" t="s">
        <v>136</v>
      </c>
      <c r="E242" s="122"/>
      <c r="F242" s="95">
        <f>SUM(F243:F244)-F245</f>
        <v>0</v>
      </c>
      <c r="G242" s="62" t="s">
        <v>136</v>
      </c>
      <c r="H242" s="123"/>
      <c r="I242" s="95">
        <f>SUM(I243:I244)-I245</f>
        <v>0</v>
      </c>
      <c r="J242" s="64"/>
    </row>
    <row r="243" spans="1:10" s="69" customFormat="1">
      <c r="A243" s="97" t="s">
        <v>4</v>
      </c>
      <c r="B243" s="130"/>
      <c r="C243" s="68" t="s">
        <v>114</v>
      </c>
      <c r="D243" s="62" t="s">
        <v>136</v>
      </c>
      <c r="E243" s="64"/>
      <c r="F243" s="65"/>
      <c r="G243" s="62" t="s">
        <v>136</v>
      </c>
      <c r="H243" s="64"/>
      <c r="I243" s="65"/>
      <c r="J243" s="64"/>
    </row>
    <row r="244" spans="1:10" s="69" customFormat="1">
      <c r="A244" s="97" t="s">
        <v>5</v>
      </c>
      <c r="B244" s="130"/>
      <c r="C244" s="68" t="s">
        <v>115</v>
      </c>
      <c r="D244" s="62" t="s">
        <v>136</v>
      </c>
      <c r="E244" s="64"/>
      <c r="F244" s="65"/>
      <c r="G244" s="62" t="s">
        <v>136</v>
      </c>
      <c r="H244" s="64"/>
      <c r="I244" s="65"/>
      <c r="J244" s="64"/>
    </row>
    <row r="245" spans="1:10" s="69" customFormat="1">
      <c r="A245" s="62" t="s">
        <v>132</v>
      </c>
      <c r="B245" s="62"/>
      <c r="C245" s="68" t="s">
        <v>39</v>
      </c>
      <c r="D245" s="62" t="s">
        <v>136</v>
      </c>
      <c r="E245" s="64"/>
      <c r="F245" s="65"/>
      <c r="G245" s="62" t="s">
        <v>136</v>
      </c>
      <c r="H245" s="64"/>
      <c r="I245" s="65"/>
      <c r="J245" s="64"/>
    </row>
    <row r="246" spans="1:10" s="69" customFormat="1" ht="63.75">
      <c r="A246" s="97" t="s">
        <v>263</v>
      </c>
      <c r="B246" s="131" t="s">
        <v>124</v>
      </c>
      <c r="C246" s="112"/>
      <c r="D246" s="118">
        <f>SUM(D247:D248)-D249</f>
        <v>546</v>
      </c>
      <c r="E246" s="122">
        <f>E247+E248</f>
        <v>931534</v>
      </c>
      <c r="F246" s="95">
        <f>SUM(F247:F248)-F249</f>
        <v>226700.26141000001</v>
      </c>
      <c r="G246" s="94">
        <f>SUM(G247:G248)-G249</f>
        <v>2223</v>
      </c>
      <c r="H246" s="123">
        <f>H247+H248</f>
        <v>2520677</v>
      </c>
      <c r="I246" s="95">
        <f>SUM(I247:I248)-I249</f>
        <v>750783.23236000002</v>
      </c>
      <c r="J246" s="64"/>
    </row>
    <row r="247" spans="1:10" s="69" customFormat="1" ht="233.25" customHeight="1">
      <c r="A247" s="97" t="s">
        <v>4</v>
      </c>
      <c r="B247" s="130"/>
      <c r="C247" s="68" t="s">
        <v>114</v>
      </c>
      <c r="D247" s="64">
        <f>223+44+37</f>
        <v>304</v>
      </c>
      <c r="E247" s="64">
        <f>223+551449+147626</f>
        <v>699298</v>
      </c>
      <c r="F247" s="65">
        <f>33486.688+61433.1558+47878.1189</f>
        <v>142797.9627</v>
      </c>
      <c r="G247" s="64">
        <f>136+199+475+D247</f>
        <v>1114</v>
      </c>
      <c r="H247" s="64">
        <f>633319+475+284128+E247</f>
        <v>1617220</v>
      </c>
      <c r="I247" s="65">
        <f>131145.88+53774.55136+100256.60463+F247</f>
        <v>427974.99869000004</v>
      </c>
      <c r="J247" s="66" t="s">
        <v>277</v>
      </c>
    </row>
    <row r="248" spans="1:10" s="69" customFormat="1" ht="169.5" customHeight="1">
      <c r="A248" s="97" t="s">
        <v>5</v>
      </c>
      <c r="B248" s="130"/>
      <c r="C248" s="68" t="s">
        <v>115</v>
      </c>
      <c r="D248" s="64">
        <f>214+28</f>
        <v>242</v>
      </c>
      <c r="E248" s="64">
        <f>214+232022</f>
        <v>232236</v>
      </c>
      <c r="F248" s="65">
        <f>45894.3132+38007.98551</f>
        <v>83902.298710000003</v>
      </c>
      <c r="G248" s="64">
        <f>165+221+481+D248</f>
        <v>1109</v>
      </c>
      <c r="H248" s="64">
        <f>543088+127652+481+E248</f>
        <v>903457</v>
      </c>
      <c r="I248" s="65">
        <f>98045.17+43079.58178+97781.18318+F248</f>
        <v>322808.23366999999</v>
      </c>
      <c r="J248" s="66" t="s">
        <v>278</v>
      </c>
    </row>
    <row r="249" spans="1:10" s="69" customFormat="1">
      <c r="A249" s="62" t="s">
        <v>132</v>
      </c>
      <c r="B249" s="62"/>
      <c r="C249" s="68" t="s">
        <v>39</v>
      </c>
      <c r="D249" s="64"/>
      <c r="E249" s="64"/>
      <c r="F249" s="65"/>
      <c r="G249" s="64"/>
      <c r="H249" s="64"/>
      <c r="I249" s="65"/>
      <c r="J249" s="64"/>
    </row>
  </sheetData>
  <mergeCells count="20">
    <mergeCell ref="B24:B29"/>
    <mergeCell ref="G14:J14"/>
    <mergeCell ref="C16:E16"/>
    <mergeCell ref="J24:J29"/>
    <mergeCell ref="A13:E13"/>
    <mergeCell ref="A15:E15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4:E14"/>
    <mergeCell ref="C24:C29"/>
    <mergeCell ref="E19:G19"/>
    <mergeCell ref="A24:A29"/>
  </mergeCells>
  <phoneticPr fontId="4" type="noConversion"/>
  <hyperlinks>
    <hyperlink ref="C16" r:id="rId1"/>
  </hyperlinks>
  <pageMargins left="0" right="0" top="0.59055118110236227" bottom="0.59055118110236227" header="0.51181102362204722" footer="0.51181102362204722"/>
  <pageSetup paperSize="9" scale="8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Normal="100" zoomScaleSheetLayoutView="100" workbookViewId="0">
      <selection activeCell="A7" sqref="A7:D7"/>
    </sheetView>
  </sheetViews>
  <sheetFormatPr defaultRowHeight="12.75"/>
  <cols>
    <col min="1" max="1" width="58.28515625" customWidth="1"/>
    <col min="2" max="2" width="8.5703125" customWidth="1"/>
    <col min="3" max="3" width="13" style="35" customWidth="1"/>
    <col min="4" max="4" width="14.7109375" style="35" customWidth="1"/>
  </cols>
  <sheetData>
    <row r="1" spans="1:5" ht="15.75">
      <c r="A1" s="7"/>
      <c r="B1" s="22" t="s">
        <v>42</v>
      </c>
      <c r="D1" s="43"/>
      <c r="E1" s="1"/>
    </row>
    <row r="2" spans="1:5" ht="15.75">
      <c r="A2" s="3"/>
      <c r="B2" s="22" t="s">
        <v>97</v>
      </c>
      <c r="C2" s="43"/>
      <c r="D2" s="43"/>
    </row>
    <row r="3" spans="1:5">
      <c r="A3" s="7"/>
      <c r="B3" s="14"/>
      <c r="C3" s="43"/>
      <c r="D3" s="43"/>
    </row>
    <row r="4" spans="1:5" ht="62.25" customHeight="1">
      <c r="A4" s="27" t="s">
        <v>43</v>
      </c>
      <c r="B4" s="27" t="s">
        <v>63</v>
      </c>
      <c r="C4" s="27" t="s">
        <v>221</v>
      </c>
      <c r="D4" s="27" t="s">
        <v>222</v>
      </c>
    </row>
    <row r="5" spans="1:5">
      <c r="A5" s="13">
        <v>1</v>
      </c>
      <c r="B5" s="13">
        <v>2</v>
      </c>
      <c r="C5" s="13">
        <v>3</v>
      </c>
      <c r="D5" s="13">
        <v>4</v>
      </c>
    </row>
    <row r="6" spans="1:5">
      <c r="A6" s="12" t="s">
        <v>180</v>
      </c>
      <c r="B6" s="29" t="s">
        <v>75</v>
      </c>
      <c r="C6" s="37">
        <f>SUM(C7:C14)</f>
        <v>130.20542</v>
      </c>
      <c r="D6" s="37">
        <f>SUM(D7:D14)</f>
        <v>950.46130999999991</v>
      </c>
    </row>
    <row r="7" spans="1:5">
      <c r="A7" s="132" t="s">
        <v>273</v>
      </c>
      <c r="B7" s="68" t="s">
        <v>76</v>
      </c>
      <c r="C7" s="133">
        <v>15.03542</v>
      </c>
      <c r="D7" s="133">
        <f>62.61589+10.56+C7</f>
        <v>88.211309999999997</v>
      </c>
    </row>
    <row r="8" spans="1:5">
      <c r="A8" s="12" t="s">
        <v>44</v>
      </c>
      <c r="B8" s="29" t="s">
        <v>77</v>
      </c>
      <c r="C8" s="67">
        <f>15.1+20.45</f>
        <v>35.549999999999997</v>
      </c>
      <c r="D8" s="38">
        <f>40.55+474.83+C8</f>
        <v>550.92999999999995</v>
      </c>
    </row>
    <row r="9" spans="1:5">
      <c r="A9" s="12" t="s">
        <v>45</v>
      </c>
      <c r="B9" s="29" t="s">
        <v>78</v>
      </c>
      <c r="C9" s="67">
        <f>54.42</f>
        <v>54.42</v>
      </c>
      <c r="D9" s="38">
        <f>132.72+56.37+C9</f>
        <v>243.51</v>
      </c>
    </row>
    <row r="10" spans="1:5" ht="12.75" customHeight="1">
      <c r="A10" s="12" t="s">
        <v>46</v>
      </c>
      <c r="B10" s="29" t="s">
        <v>79</v>
      </c>
      <c r="C10" s="38"/>
      <c r="D10" s="38">
        <f>0+C10</f>
        <v>0</v>
      </c>
    </row>
    <row r="11" spans="1:5">
      <c r="A11" s="12" t="s">
        <v>47</v>
      </c>
      <c r="B11" s="29" t="s">
        <v>80</v>
      </c>
      <c r="C11" s="38"/>
      <c r="D11" s="38">
        <f>0+C11</f>
        <v>0</v>
      </c>
    </row>
    <row r="12" spans="1:5" ht="12.75" customHeight="1">
      <c r="A12" s="12" t="s">
        <v>48</v>
      </c>
      <c r="B12" s="29" t="s">
        <v>81</v>
      </c>
      <c r="C12" s="38"/>
      <c r="D12" s="38">
        <f>0+C12</f>
        <v>0</v>
      </c>
    </row>
    <row r="13" spans="1:5" ht="12.75" customHeight="1">
      <c r="A13" s="12" t="s">
        <v>272</v>
      </c>
      <c r="B13" s="29" t="s">
        <v>82</v>
      </c>
      <c r="C13" s="67">
        <f>19.75+5.45</f>
        <v>25.2</v>
      </c>
      <c r="D13" s="38">
        <f>5.26+7.35+30+C13</f>
        <v>67.81</v>
      </c>
    </row>
    <row r="14" spans="1:5">
      <c r="A14" s="12" t="s">
        <v>236</v>
      </c>
      <c r="B14" s="29" t="s">
        <v>83</v>
      </c>
      <c r="C14" s="38"/>
      <c r="D14" s="38">
        <f>0+C14</f>
        <v>0</v>
      </c>
    </row>
    <row r="15" spans="1:5">
      <c r="A15" s="44"/>
      <c r="B15" s="59"/>
      <c r="C15" s="60"/>
      <c r="D15" s="60"/>
    </row>
    <row r="16" spans="1:5">
      <c r="A16" s="44"/>
      <c r="B16" s="59"/>
      <c r="C16" s="60"/>
      <c r="D16" s="60"/>
    </row>
    <row r="17" spans="1:1" ht="76.5">
      <c r="A17" s="61" t="s">
        <v>274</v>
      </c>
    </row>
  </sheetData>
  <phoneticPr fontId="4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Normal="100" zoomScaleSheetLayoutView="100" workbookViewId="0">
      <selection activeCell="G10" sqref="G10"/>
    </sheetView>
  </sheetViews>
  <sheetFormatPr defaultRowHeight="12.75"/>
  <cols>
    <col min="1" max="1" width="59" customWidth="1"/>
    <col min="2" max="2" width="10.28515625" customWidth="1"/>
    <col min="3" max="3" width="16.28515625" customWidth="1"/>
    <col min="6" max="6" width="14.5703125" customWidth="1"/>
  </cols>
  <sheetData>
    <row r="1" spans="1:6" ht="15.75">
      <c r="A1" s="70" t="s">
        <v>49</v>
      </c>
      <c r="C1" s="69"/>
      <c r="D1" s="8"/>
      <c r="E1" s="8"/>
      <c r="F1" s="8"/>
    </row>
    <row r="2" spans="1:6" ht="15.75">
      <c r="A2" s="69"/>
      <c r="B2" s="70" t="s">
        <v>237</v>
      </c>
      <c r="C2" s="69"/>
      <c r="D2" s="8"/>
      <c r="E2" s="8"/>
      <c r="F2" s="8"/>
    </row>
    <row r="3" spans="1:6">
      <c r="A3" s="71"/>
      <c r="B3" s="72"/>
      <c r="C3" s="72"/>
      <c r="D3" s="8"/>
      <c r="E3" s="8"/>
      <c r="F3" s="8"/>
    </row>
    <row r="4" spans="1:6" ht="51" customHeight="1">
      <c r="A4" s="73" t="s">
        <v>0</v>
      </c>
      <c r="B4" s="73" t="s">
        <v>63</v>
      </c>
      <c r="C4" s="73" t="s">
        <v>99</v>
      </c>
      <c r="D4" s="15"/>
      <c r="E4" s="15"/>
      <c r="F4" s="15"/>
    </row>
    <row r="5" spans="1:6" ht="19.5" customHeight="1">
      <c r="A5" s="73">
        <v>1</v>
      </c>
      <c r="B5" s="73">
        <v>2</v>
      </c>
      <c r="C5" s="73">
        <v>3</v>
      </c>
      <c r="D5" s="15"/>
      <c r="E5" s="15"/>
      <c r="F5" s="15"/>
    </row>
    <row r="6" spans="1:6" ht="31.5">
      <c r="A6" s="74" t="s">
        <v>238</v>
      </c>
      <c r="B6" s="75" t="s">
        <v>135</v>
      </c>
      <c r="C6" s="76">
        <v>602</v>
      </c>
      <c r="D6" s="15"/>
      <c r="E6" s="15"/>
      <c r="F6" s="15"/>
    </row>
    <row r="7" spans="1:6" ht="31.5">
      <c r="A7" s="74" t="s">
        <v>239</v>
      </c>
      <c r="B7" s="75" t="s">
        <v>125</v>
      </c>
      <c r="C7" s="76">
        <v>58</v>
      </c>
      <c r="D7" s="15"/>
      <c r="E7" s="15"/>
      <c r="F7" s="15"/>
    </row>
    <row r="8" spans="1:6" ht="31.5">
      <c r="A8" s="74" t="s">
        <v>240</v>
      </c>
      <c r="B8" s="75" t="s">
        <v>126</v>
      </c>
      <c r="C8" s="76">
        <v>7</v>
      </c>
      <c r="D8" s="15"/>
      <c r="E8" s="15"/>
      <c r="F8" s="15"/>
    </row>
    <row r="9" spans="1:6" ht="47.25">
      <c r="A9" s="74" t="s">
        <v>252</v>
      </c>
      <c r="B9" s="75" t="s">
        <v>127</v>
      </c>
      <c r="C9" s="76">
        <v>742</v>
      </c>
      <c r="D9" s="15"/>
      <c r="E9" s="15"/>
      <c r="F9" s="15"/>
    </row>
    <row r="10" spans="1:6" ht="21.75" customHeight="1">
      <c r="A10" s="74" t="s">
        <v>251</v>
      </c>
      <c r="B10" s="75" t="s">
        <v>181</v>
      </c>
      <c r="C10" s="76">
        <v>1</v>
      </c>
      <c r="D10" s="15"/>
      <c r="E10" s="15"/>
      <c r="F10" s="15"/>
    </row>
    <row r="11" spans="1:6" ht="21" customHeight="1">
      <c r="A11" s="74" t="s">
        <v>253</v>
      </c>
      <c r="B11" s="75" t="s">
        <v>182</v>
      </c>
      <c r="C11" s="76">
        <v>0</v>
      </c>
      <c r="D11" s="15"/>
      <c r="E11" s="15"/>
      <c r="F11" s="15"/>
    </row>
    <row r="12" spans="1:6" ht="15.75">
      <c r="A12" s="74" t="s">
        <v>254</v>
      </c>
      <c r="B12" s="75" t="s">
        <v>183</v>
      </c>
      <c r="C12" s="76">
        <v>0</v>
      </c>
      <c r="D12" s="15"/>
      <c r="E12" s="15"/>
      <c r="F12" s="15"/>
    </row>
    <row r="13" spans="1:6" ht="18.75" customHeight="1">
      <c r="A13" s="74" t="s">
        <v>255</v>
      </c>
      <c r="B13" s="75" t="s">
        <v>184</v>
      </c>
      <c r="C13" s="76">
        <v>0</v>
      </c>
      <c r="D13" s="15"/>
      <c r="E13" s="15"/>
      <c r="F13" s="15"/>
    </row>
    <row r="14" spans="1:6" ht="31.5">
      <c r="A14" s="74" t="s">
        <v>265</v>
      </c>
      <c r="B14" s="75" t="s">
        <v>128</v>
      </c>
      <c r="C14" s="76">
        <v>148934</v>
      </c>
      <c r="D14" s="15"/>
      <c r="E14" s="15"/>
      <c r="F14" s="15"/>
    </row>
    <row r="15" spans="1:6" ht="21.75" customHeight="1">
      <c r="A15" s="74" t="s">
        <v>251</v>
      </c>
      <c r="B15" s="75" t="s">
        <v>185</v>
      </c>
      <c r="C15" s="76">
        <v>119</v>
      </c>
      <c r="D15" s="15"/>
      <c r="E15" s="15"/>
      <c r="F15" s="15"/>
    </row>
    <row r="16" spans="1:6" ht="21" customHeight="1">
      <c r="A16" s="74" t="s">
        <v>253</v>
      </c>
      <c r="B16" s="75" t="s">
        <v>186</v>
      </c>
      <c r="C16" s="76">
        <v>1</v>
      </c>
      <c r="D16" s="15"/>
      <c r="E16" s="15"/>
      <c r="F16" s="15"/>
    </row>
    <row r="17" spans="1:6" ht="15.75">
      <c r="A17" s="74" t="s">
        <v>254</v>
      </c>
      <c r="B17" s="75" t="s">
        <v>187</v>
      </c>
      <c r="C17" s="76">
        <v>0</v>
      </c>
      <c r="D17" s="15"/>
      <c r="E17" s="15"/>
      <c r="F17" s="15"/>
    </row>
    <row r="18" spans="1:6" ht="18.75" customHeight="1">
      <c r="A18" s="74" t="s">
        <v>255</v>
      </c>
      <c r="B18" s="75" t="s">
        <v>188</v>
      </c>
      <c r="C18" s="76">
        <v>0</v>
      </c>
      <c r="D18" s="15"/>
      <c r="E18" s="15"/>
      <c r="F18" s="15"/>
    </row>
    <row r="19" spans="1:6" ht="15.75" customHeight="1">
      <c r="A19" s="74" t="s">
        <v>130</v>
      </c>
      <c r="B19" s="75" t="s">
        <v>129</v>
      </c>
      <c r="C19" s="76">
        <v>10333</v>
      </c>
      <c r="D19" s="15"/>
      <c r="E19" s="15"/>
      <c r="F19" s="15"/>
    </row>
    <row r="20" spans="1:6">
      <c r="A20" s="15"/>
      <c r="B20" s="21"/>
      <c r="C20" s="21"/>
      <c r="D20" s="21"/>
      <c r="E20" s="21"/>
      <c r="F20" s="15"/>
    </row>
    <row r="21" spans="1:6">
      <c r="A21" s="15"/>
      <c r="B21" s="21"/>
      <c r="C21" s="21"/>
      <c r="D21" s="21"/>
      <c r="E21" s="21"/>
      <c r="F21" s="15"/>
    </row>
    <row r="22" spans="1:6">
      <c r="A22" s="15"/>
      <c r="B22" s="15"/>
      <c r="C22" s="15"/>
      <c r="D22" s="15"/>
      <c r="E22" s="15"/>
      <c r="F22" s="15"/>
    </row>
  </sheetData>
  <phoneticPr fontId="4" type="noConversion"/>
  <pageMargins left="0.78740157480314965" right="0.59055118110236227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Normal="100" zoomScaleSheetLayoutView="100" workbookViewId="0">
      <selection activeCell="N73" sqref="N73"/>
    </sheetView>
  </sheetViews>
  <sheetFormatPr defaultRowHeight="12.75"/>
  <cols>
    <col min="1" max="1" width="20.42578125" customWidth="1"/>
    <col min="8" max="8" width="11.28515625" customWidth="1"/>
  </cols>
  <sheetData>
    <row r="1" spans="1:8" ht="15.75">
      <c r="B1" s="10"/>
      <c r="C1" s="10"/>
      <c r="D1" s="22" t="s">
        <v>50</v>
      </c>
      <c r="E1" s="10"/>
      <c r="F1" s="10"/>
      <c r="G1" s="10"/>
      <c r="H1" s="10"/>
    </row>
    <row r="2" spans="1:8" ht="19.5">
      <c r="A2" s="9"/>
      <c r="B2" s="18"/>
      <c r="C2" s="10"/>
      <c r="D2" s="22" t="s">
        <v>51</v>
      </c>
      <c r="E2" s="10"/>
      <c r="F2" s="10"/>
      <c r="G2" s="10"/>
      <c r="H2" s="10"/>
    </row>
    <row r="3" spans="1:8">
      <c r="A3" s="11"/>
      <c r="B3" s="10"/>
      <c r="C3" s="10"/>
      <c r="D3" s="10"/>
      <c r="E3" s="10"/>
      <c r="F3" s="10"/>
      <c r="G3" s="10"/>
      <c r="H3" s="10"/>
    </row>
    <row r="4" spans="1:8" ht="20.25" customHeight="1">
      <c r="A4" s="159" t="s">
        <v>0</v>
      </c>
      <c r="B4" s="159" t="s">
        <v>63</v>
      </c>
      <c r="C4" s="159" t="s">
        <v>52</v>
      </c>
      <c r="D4" s="159"/>
      <c r="E4" s="159"/>
      <c r="F4" s="159" t="s">
        <v>1</v>
      </c>
      <c r="G4" s="159"/>
      <c r="H4" s="159"/>
    </row>
    <row r="5" spans="1:8">
      <c r="A5" s="159"/>
      <c r="B5" s="160"/>
      <c r="C5" s="159" t="s">
        <v>3</v>
      </c>
      <c r="D5" s="159"/>
      <c r="E5" s="161" t="s">
        <v>220</v>
      </c>
      <c r="F5" s="159" t="s">
        <v>3</v>
      </c>
      <c r="G5" s="159"/>
      <c r="H5" s="161" t="s">
        <v>223</v>
      </c>
    </row>
    <row r="6" spans="1:8" ht="5.25" customHeight="1">
      <c r="A6" s="159"/>
      <c r="B6" s="160"/>
      <c r="C6" s="159"/>
      <c r="D6" s="159"/>
      <c r="E6" s="162"/>
      <c r="F6" s="159"/>
      <c r="G6" s="159"/>
      <c r="H6" s="162"/>
    </row>
    <row r="7" spans="1:8" ht="3.75" hidden="1" customHeight="1" thickBot="1">
      <c r="A7" s="159"/>
      <c r="B7" s="160"/>
      <c r="C7" s="159"/>
      <c r="D7" s="159"/>
      <c r="E7" s="162"/>
      <c r="F7" s="159"/>
      <c r="G7" s="159"/>
      <c r="H7" s="162"/>
    </row>
    <row r="8" spans="1:8">
      <c r="A8" s="159"/>
      <c r="B8" s="160"/>
      <c r="C8" s="161" t="s">
        <v>110</v>
      </c>
      <c r="D8" s="161" t="s">
        <v>111</v>
      </c>
      <c r="E8" s="162"/>
      <c r="F8" s="161" t="s">
        <v>110</v>
      </c>
      <c r="G8" s="161" t="s">
        <v>111</v>
      </c>
      <c r="H8" s="162"/>
    </row>
    <row r="9" spans="1:8">
      <c r="A9" s="159"/>
      <c r="B9" s="160"/>
      <c r="C9" s="162"/>
      <c r="D9" s="162"/>
      <c r="E9" s="162"/>
      <c r="F9" s="162"/>
      <c r="G9" s="162"/>
      <c r="H9" s="162"/>
    </row>
    <row r="10" spans="1:8" ht="23.25" customHeight="1">
      <c r="A10" s="159"/>
      <c r="B10" s="160"/>
      <c r="C10" s="162"/>
      <c r="D10" s="162"/>
      <c r="E10" s="162"/>
      <c r="F10" s="162"/>
      <c r="G10" s="162"/>
      <c r="H10" s="162"/>
    </row>
    <row r="11" spans="1:8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</row>
    <row r="12" spans="1:8" ht="117.75" customHeight="1">
      <c r="A12" s="33" t="s">
        <v>189</v>
      </c>
      <c r="B12" s="29" t="s">
        <v>84</v>
      </c>
      <c r="C12" s="33"/>
      <c r="D12" s="33"/>
      <c r="E12" s="39"/>
      <c r="F12" s="33"/>
      <c r="G12" s="33"/>
      <c r="H12" s="39"/>
    </row>
    <row r="13" spans="1:8" ht="21.75" customHeight="1">
      <c r="A13" s="33" t="s">
        <v>53</v>
      </c>
      <c r="B13" s="29" t="s">
        <v>85</v>
      </c>
      <c r="C13" s="33"/>
      <c r="D13" s="33"/>
      <c r="E13" s="39"/>
      <c r="F13" s="33"/>
      <c r="G13" s="33"/>
      <c r="H13" s="39"/>
    </row>
    <row r="14" spans="1:8" ht="109.15" customHeight="1">
      <c r="A14" s="33" t="s">
        <v>256</v>
      </c>
      <c r="B14" s="29" t="s">
        <v>54</v>
      </c>
      <c r="C14" s="33"/>
      <c r="D14" s="33"/>
      <c r="E14" s="39"/>
      <c r="F14" s="33"/>
      <c r="G14" s="33"/>
      <c r="H14" s="39"/>
    </row>
    <row r="15" spans="1:8" ht="43.15" customHeight="1">
      <c r="A15" s="33" t="s">
        <v>138</v>
      </c>
      <c r="B15" s="29" t="s">
        <v>190</v>
      </c>
      <c r="C15" s="33"/>
      <c r="D15" s="33"/>
      <c r="E15" s="39"/>
      <c r="F15" s="33"/>
      <c r="G15" s="33"/>
      <c r="H15" s="39"/>
    </row>
    <row r="16" spans="1:8" ht="28.9" customHeight="1">
      <c r="A16" s="33" t="s">
        <v>140</v>
      </c>
      <c r="B16" s="29" t="s">
        <v>191</v>
      </c>
      <c r="C16" s="33"/>
      <c r="D16" s="33"/>
      <c r="E16" s="39"/>
      <c r="F16" s="33"/>
      <c r="G16" s="33"/>
      <c r="H16" s="39"/>
    </row>
    <row r="17" spans="1:8" ht="31.15" customHeight="1">
      <c r="A17" s="33" t="s">
        <v>141</v>
      </c>
      <c r="B17" s="29" t="s">
        <v>192</v>
      </c>
      <c r="C17" s="33"/>
      <c r="D17" s="33"/>
      <c r="E17" s="39"/>
      <c r="F17" s="33"/>
      <c r="G17" s="33"/>
      <c r="H17" s="39"/>
    </row>
    <row r="18" spans="1:8" ht="43.9" customHeight="1">
      <c r="A18" s="33" t="s">
        <v>142</v>
      </c>
      <c r="B18" s="29" t="s">
        <v>193</v>
      </c>
      <c r="C18" s="33"/>
      <c r="D18" s="33"/>
      <c r="E18" s="39"/>
      <c r="F18" s="33"/>
      <c r="G18" s="33"/>
      <c r="H18" s="39"/>
    </row>
    <row r="19" spans="1:8" ht="25.5">
      <c r="A19" s="33" t="s">
        <v>194</v>
      </c>
      <c r="B19" s="29" t="s">
        <v>86</v>
      </c>
      <c r="C19" s="33"/>
      <c r="D19" s="33"/>
      <c r="E19" s="39"/>
      <c r="F19" s="33"/>
      <c r="G19" s="33"/>
      <c r="H19" s="39"/>
    </row>
    <row r="20" spans="1:8" ht="51" customHeight="1">
      <c r="A20" s="33" t="s">
        <v>195</v>
      </c>
      <c r="B20" s="29" t="s">
        <v>55</v>
      </c>
      <c r="C20" s="33"/>
      <c r="D20" s="33"/>
      <c r="E20" s="39"/>
      <c r="F20" s="33"/>
      <c r="G20" s="33"/>
      <c r="H20" s="39"/>
    </row>
    <row r="21" spans="1:8" ht="44.25" customHeight="1">
      <c r="A21" s="33" t="s">
        <v>196</v>
      </c>
      <c r="B21" s="29" t="s">
        <v>56</v>
      </c>
      <c r="C21" s="33"/>
      <c r="D21" s="33"/>
      <c r="E21" s="39"/>
      <c r="F21" s="33"/>
      <c r="G21" s="33"/>
      <c r="H21" s="39"/>
    </row>
    <row r="22" spans="1:8" ht="27.75" customHeight="1">
      <c r="A22" s="33" t="s">
        <v>197</v>
      </c>
      <c r="B22" s="29" t="s">
        <v>57</v>
      </c>
      <c r="C22" s="33"/>
      <c r="D22" s="33"/>
      <c r="E22" s="39"/>
      <c r="F22" s="33"/>
      <c r="G22" s="33"/>
      <c r="H22" s="39"/>
    </row>
    <row r="23" spans="1:8" ht="32.25" customHeight="1">
      <c r="A23" s="33" t="s">
        <v>198</v>
      </c>
      <c r="B23" s="29" t="s">
        <v>58</v>
      </c>
      <c r="C23" s="33"/>
      <c r="D23" s="33"/>
      <c r="E23" s="39"/>
      <c r="F23" s="33"/>
      <c r="G23" s="33"/>
      <c r="H23" s="39"/>
    </row>
    <row r="24" spans="1:8" ht="22.5" customHeight="1">
      <c r="A24" s="33" t="s">
        <v>59</v>
      </c>
      <c r="B24" s="29" t="s">
        <v>60</v>
      </c>
      <c r="C24" s="33"/>
      <c r="D24" s="33"/>
      <c r="E24" s="39"/>
      <c r="F24" s="33"/>
      <c r="G24" s="33"/>
      <c r="H24" s="39"/>
    </row>
    <row r="25" spans="1:8" ht="109.15" customHeight="1">
      <c r="A25" s="33" t="s">
        <v>257</v>
      </c>
      <c r="B25" s="29" t="s">
        <v>87</v>
      </c>
      <c r="C25" s="33"/>
      <c r="D25" s="33"/>
      <c r="E25" s="39"/>
      <c r="F25" s="33"/>
      <c r="G25" s="33"/>
      <c r="H25" s="39"/>
    </row>
    <row r="26" spans="1:8" ht="39.6" customHeight="1">
      <c r="A26" s="33" t="s">
        <v>138</v>
      </c>
      <c r="B26" s="29" t="s">
        <v>199</v>
      </c>
      <c r="C26" s="33"/>
      <c r="D26" s="33"/>
      <c r="E26" s="39"/>
      <c r="F26" s="33"/>
      <c r="G26" s="33"/>
      <c r="H26" s="39"/>
    </row>
    <row r="27" spans="1:8" ht="33" customHeight="1">
      <c r="A27" s="33" t="s">
        <v>140</v>
      </c>
      <c r="B27" s="29" t="s">
        <v>200</v>
      </c>
      <c r="C27" s="33"/>
      <c r="D27" s="33"/>
      <c r="E27" s="39"/>
      <c r="F27" s="33"/>
      <c r="G27" s="33"/>
      <c r="H27" s="39"/>
    </row>
    <row r="28" spans="1:8" ht="30" customHeight="1">
      <c r="A28" s="33" t="s">
        <v>141</v>
      </c>
      <c r="B28" s="29" t="s">
        <v>201</v>
      </c>
      <c r="C28" s="33"/>
      <c r="D28" s="33"/>
      <c r="E28" s="39"/>
      <c r="F28" s="33"/>
      <c r="G28" s="33"/>
      <c r="H28" s="39"/>
    </row>
    <row r="29" spans="1:8" ht="49.15" customHeight="1">
      <c r="A29" s="33" t="s">
        <v>142</v>
      </c>
      <c r="B29" s="29" t="s">
        <v>202</v>
      </c>
      <c r="C29" s="33"/>
      <c r="D29" s="33"/>
      <c r="E29" s="39"/>
      <c r="F29" s="33"/>
      <c r="G29" s="33"/>
      <c r="H29" s="39"/>
    </row>
    <row r="30" spans="1:8" ht="38.25">
      <c r="A30" s="33" t="s">
        <v>61</v>
      </c>
      <c r="B30" s="29" t="s">
        <v>88</v>
      </c>
      <c r="C30" s="33"/>
      <c r="D30" s="33"/>
      <c r="E30" s="39"/>
      <c r="F30" s="33"/>
      <c r="G30" s="33"/>
      <c r="H30" s="39"/>
    </row>
    <row r="31" spans="1:8" ht="38.25">
      <c r="A31" s="33" t="s">
        <v>62</v>
      </c>
      <c r="B31" s="29" t="s">
        <v>89</v>
      </c>
      <c r="C31" s="33"/>
      <c r="D31" s="33"/>
      <c r="E31" s="39"/>
      <c r="F31" s="33"/>
      <c r="G31" s="33"/>
      <c r="H31" s="39"/>
    </row>
  </sheetData>
  <mergeCells count="12">
    <mergeCell ref="G8:G10"/>
    <mergeCell ref="H5:H10"/>
    <mergeCell ref="F4:H4"/>
    <mergeCell ref="C5:D7"/>
    <mergeCell ref="F5:G7"/>
    <mergeCell ref="F8:F10"/>
    <mergeCell ref="A4:A10"/>
    <mergeCell ref="C4:E4"/>
    <mergeCell ref="B4:B10"/>
    <mergeCell ref="C8:C10"/>
    <mergeCell ref="D8:D10"/>
    <mergeCell ref="E5:E1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Normal="100" workbookViewId="0">
      <selection activeCell="G16" sqref="G16"/>
    </sheetView>
  </sheetViews>
  <sheetFormatPr defaultRowHeight="12.75"/>
  <cols>
    <col min="1" max="1" width="42.7109375" customWidth="1"/>
    <col min="2" max="2" width="9.5703125" customWidth="1"/>
    <col min="3" max="3" width="11.85546875" customWidth="1"/>
    <col min="4" max="4" width="21.7109375" customWidth="1"/>
  </cols>
  <sheetData>
    <row r="1" spans="1:6" ht="15">
      <c r="B1" s="40" t="s">
        <v>266</v>
      </c>
      <c r="C1" s="8"/>
    </row>
    <row r="2" spans="1:6" ht="15.75">
      <c r="B2" s="22" t="s">
        <v>98</v>
      </c>
      <c r="C2" s="8"/>
    </row>
    <row r="3" spans="1:6">
      <c r="A3" s="3"/>
      <c r="B3" s="8"/>
      <c r="C3" s="8"/>
    </row>
    <row r="4" spans="1:6" ht="25.5">
      <c r="A4" s="27" t="s">
        <v>0</v>
      </c>
      <c r="B4" s="27" t="s">
        <v>63</v>
      </c>
      <c r="C4" s="27" t="s">
        <v>119</v>
      </c>
      <c r="D4" s="30" t="s">
        <v>99</v>
      </c>
    </row>
    <row r="5" spans="1:6">
      <c r="A5" s="24">
        <v>1</v>
      </c>
      <c r="B5" s="24">
        <v>2</v>
      </c>
      <c r="C5" s="24">
        <v>3</v>
      </c>
      <c r="D5" s="24">
        <v>4</v>
      </c>
    </row>
    <row r="6" spans="1:6" ht="25.5">
      <c r="A6" s="12" t="s">
        <v>64</v>
      </c>
      <c r="B6" s="31" t="s">
        <v>203</v>
      </c>
      <c r="C6" s="25" t="s">
        <v>104</v>
      </c>
      <c r="D6" s="36"/>
    </row>
    <row r="7" spans="1:6" ht="25.5">
      <c r="A7" s="12" t="s">
        <v>204</v>
      </c>
      <c r="B7" s="31" t="s">
        <v>205</v>
      </c>
      <c r="C7" s="25" t="s">
        <v>104</v>
      </c>
      <c r="D7" s="36"/>
    </row>
    <row r="8" spans="1:6" ht="25.5">
      <c r="A8" s="12" t="s">
        <v>210</v>
      </c>
      <c r="B8" s="31" t="s">
        <v>206</v>
      </c>
      <c r="C8" s="25" t="s">
        <v>104</v>
      </c>
      <c r="D8" s="36"/>
    </row>
    <row r="9" spans="1:6">
      <c r="A9" s="12" t="s">
        <v>100</v>
      </c>
      <c r="B9" s="31" t="s">
        <v>207</v>
      </c>
      <c r="C9" s="26" t="s">
        <v>103</v>
      </c>
      <c r="D9" s="36"/>
      <c r="F9" s="23"/>
    </row>
    <row r="10" spans="1:6" ht="25.5">
      <c r="A10" s="12" t="s">
        <v>101</v>
      </c>
      <c r="B10" s="31" t="s">
        <v>208</v>
      </c>
      <c r="C10" s="26" t="s">
        <v>103</v>
      </c>
      <c r="D10" s="36"/>
      <c r="F10" s="23"/>
    </row>
    <row r="11" spans="1:6" ht="25.5">
      <c r="A11" s="12" t="s">
        <v>102</v>
      </c>
      <c r="B11" s="31" t="s">
        <v>209</v>
      </c>
      <c r="C11" s="26" t="s">
        <v>103</v>
      </c>
      <c r="D11" s="2"/>
    </row>
    <row r="12" spans="1:6" ht="25.5">
      <c r="A12" s="12" t="s">
        <v>215</v>
      </c>
      <c r="B12" s="31" t="s">
        <v>211</v>
      </c>
      <c r="C12" s="26" t="s">
        <v>91</v>
      </c>
      <c r="D12" s="2"/>
    </row>
    <row r="13" spans="1:6" ht="25.5">
      <c r="A13" s="12" t="s">
        <v>216</v>
      </c>
      <c r="B13" s="31" t="s">
        <v>212</v>
      </c>
      <c r="C13" s="26" t="s">
        <v>91</v>
      </c>
      <c r="D13" s="2"/>
    </row>
    <row r="14" spans="1:6" ht="25.5">
      <c r="A14" s="12" t="s">
        <v>217</v>
      </c>
      <c r="B14" s="31" t="s">
        <v>213</v>
      </c>
      <c r="C14" s="26" t="s">
        <v>91</v>
      </c>
      <c r="D14" s="2"/>
    </row>
    <row r="15" spans="1:6">
      <c r="A15" s="12" t="s">
        <v>218</v>
      </c>
      <c r="B15" s="31" t="s">
        <v>214</v>
      </c>
      <c r="C15" s="26" t="s">
        <v>91</v>
      </c>
      <c r="D15" s="2"/>
    </row>
    <row r="16" spans="1:6" ht="25.5">
      <c r="A16" s="12" t="s">
        <v>219</v>
      </c>
      <c r="B16" s="31" t="s">
        <v>214</v>
      </c>
      <c r="C16" s="26" t="s">
        <v>91</v>
      </c>
      <c r="D16" s="2"/>
    </row>
    <row r="17" spans="1:4">
      <c r="A17" s="44"/>
      <c r="B17" s="45"/>
      <c r="C17" s="46"/>
      <c r="D17" s="23"/>
    </row>
    <row r="18" spans="1:4">
      <c r="A18" s="44"/>
      <c r="B18" s="45"/>
      <c r="C18" s="46"/>
      <c r="D18" s="23"/>
    </row>
    <row r="20" spans="1:4" ht="19.5">
      <c r="A20" s="44" t="s">
        <v>106</v>
      </c>
      <c r="B20" s="48"/>
      <c r="D20" s="57" t="s">
        <v>270</v>
      </c>
    </row>
    <row r="21" spans="1:4">
      <c r="A21" s="44"/>
      <c r="B21" s="47" t="s">
        <v>107</v>
      </c>
      <c r="C21" s="52"/>
      <c r="D21" s="47" t="s">
        <v>264</v>
      </c>
    </row>
    <row r="22" spans="1:4">
      <c r="A22" s="44"/>
      <c r="B22" s="47" t="s">
        <v>105</v>
      </c>
      <c r="C22" s="52"/>
      <c r="D22" s="52"/>
    </row>
    <row r="23" spans="1:4">
      <c r="A23" s="44"/>
      <c r="B23" s="52"/>
      <c r="C23" s="52"/>
      <c r="D23" s="52"/>
    </row>
    <row r="24" spans="1:4" ht="19.5">
      <c r="A24" s="44" t="s">
        <v>247</v>
      </c>
      <c r="B24" s="48"/>
      <c r="C24" s="52"/>
      <c r="D24" s="56" t="s">
        <v>269</v>
      </c>
    </row>
    <row r="25" spans="1:4">
      <c r="A25" s="44" t="s">
        <v>241</v>
      </c>
      <c r="B25" s="47" t="s">
        <v>107</v>
      </c>
      <c r="C25" s="52"/>
      <c r="D25" s="47" t="s">
        <v>264</v>
      </c>
    </row>
    <row r="26" spans="1:4">
      <c r="A26" s="44" t="s">
        <v>242</v>
      </c>
      <c r="B26" s="52"/>
      <c r="C26" s="52"/>
      <c r="D26" s="52"/>
    </row>
    <row r="27" spans="1:4">
      <c r="A27" s="44" t="s">
        <v>243</v>
      </c>
      <c r="B27" s="52"/>
      <c r="C27" s="52"/>
      <c r="D27" s="52"/>
    </row>
    <row r="28" spans="1:4">
      <c r="A28" s="44" t="s">
        <v>244</v>
      </c>
      <c r="B28" s="52"/>
      <c r="C28" s="52"/>
      <c r="D28" s="52"/>
    </row>
    <row r="29" spans="1:4">
      <c r="A29" s="44" t="s">
        <v>245</v>
      </c>
      <c r="B29" s="52"/>
      <c r="C29" s="52"/>
      <c r="D29" s="52"/>
    </row>
    <row r="30" spans="1:4">
      <c r="A30" s="44" t="s">
        <v>246</v>
      </c>
      <c r="B30" s="52"/>
      <c r="C30" s="52"/>
      <c r="D30" s="52"/>
    </row>
    <row r="31" spans="1:4">
      <c r="A31" s="44"/>
      <c r="B31" s="52"/>
      <c r="C31" s="52"/>
      <c r="D31" s="52"/>
    </row>
    <row r="32" spans="1:4" ht="51">
      <c r="A32" s="44" t="s">
        <v>248</v>
      </c>
      <c r="B32" s="49"/>
      <c r="C32" s="52"/>
      <c r="D32" s="58" t="s">
        <v>275</v>
      </c>
    </row>
    <row r="33" spans="1:4" ht="25.5" customHeight="1">
      <c r="A33" s="52"/>
      <c r="B33" s="53" t="s">
        <v>107</v>
      </c>
      <c r="C33" s="52"/>
      <c r="D33" s="51" t="s">
        <v>249</v>
      </c>
    </row>
    <row r="34" spans="1:4">
      <c r="A34" s="52"/>
      <c r="B34" s="52"/>
      <c r="C34" s="52"/>
      <c r="D34" s="52"/>
    </row>
    <row r="35" spans="1:4">
      <c r="A35" s="54" t="s">
        <v>260</v>
      </c>
      <c r="B35" s="52" t="s">
        <v>261</v>
      </c>
      <c r="C35" s="52" t="s">
        <v>259</v>
      </c>
      <c r="D35" s="52"/>
    </row>
  </sheetData>
  <phoneticPr fontId="4" type="noConversion"/>
  <pageMargins left="0.78740157480314965" right="0.39370078740157483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Раздел1</vt:lpstr>
      <vt:lpstr>Раздел2</vt:lpstr>
      <vt:lpstr>Раздел4</vt:lpstr>
      <vt:lpstr>Раздел5</vt:lpstr>
      <vt:lpstr>Раздел7</vt:lpstr>
    </vt:vector>
  </TitlesOfParts>
  <Company>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8_Dedorova_184</cp:lastModifiedBy>
  <cp:lastPrinted>2018-03-02T06:22:59Z</cp:lastPrinted>
  <dcterms:created xsi:type="dcterms:W3CDTF">2005-08-11T06:54:18Z</dcterms:created>
  <dcterms:modified xsi:type="dcterms:W3CDTF">2018-03-07T08:24:32Z</dcterms:modified>
</cp:coreProperties>
</file>