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rchive\11-UCB\ALL\ЕПФР\"/>
    </mc:Choice>
  </mc:AlternateContent>
  <bookViews>
    <workbookView xWindow="480" yWindow="180" windowWidth="11340" windowHeight="8775"/>
  </bookViews>
  <sheets>
    <sheet name="Раздел1" sheetId="1" r:id="rId1"/>
    <sheet name="Раздел2" sheetId="9" r:id="rId2"/>
    <sheet name="Раздел3" sheetId="10" state="hidden" r:id="rId3"/>
    <sheet name="Раздел4" sheetId="4" r:id="rId4"/>
    <sheet name="Раздел6" sheetId="7" state="hidden" r:id="rId5"/>
    <sheet name="Раздел7" sheetId="6" r:id="rId6"/>
  </sheets>
  <definedNames>
    <definedName name="OLE_LINK9" localSheetId="2">Раздел3!$A$29</definedName>
    <definedName name="_xlnm.Print_Area" localSheetId="0">Раздел1!$A$1:$J$144</definedName>
    <definedName name="_xlnm.Print_Area" localSheetId="4">Раздел6!$A$1:$G$224</definedName>
    <definedName name="_xlnm.Print_Area" localSheetId="5">Раздел7!$A$1:$D$37</definedName>
  </definedNames>
  <calcPr calcId="152511"/>
</workbook>
</file>

<file path=xl/calcChain.xml><?xml version="1.0" encoding="utf-8"?>
<calcChain xmlns="http://schemas.openxmlformats.org/spreadsheetml/2006/main">
  <c r="D10" i="9" l="1"/>
  <c r="D82" i="10" l="1"/>
  <c r="F142" i="1" l="1"/>
  <c r="D142" i="1"/>
  <c r="G142" i="1" s="1"/>
  <c r="D143" i="1"/>
  <c r="E143" i="1"/>
  <c r="E142" i="1"/>
  <c r="C13" i="9" l="1"/>
  <c r="C30" i="10" l="1"/>
  <c r="D30" i="10"/>
  <c r="C8" i="9"/>
  <c r="D8" i="9" s="1"/>
  <c r="F100" i="1" l="1"/>
  <c r="I100" i="1" s="1"/>
  <c r="E100" i="1"/>
  <c r="H100" i="1" s="1"/>
  <c r="D100" i="1"/>
  <c r="G94" i="1"/>
  <c r="H94" i="1"/>
  <c r="I94" i="1"/>
  <c r="G100" i="1" l="1"/>
  <c r="D114" i="1"/>
  <c r="G114" i="1" s="1"/>
  <c r="I126" i="1"/>
  <c r="H126" i="1"/>
  <c r="G126" i="1"/>
  <c r="I120" i="1"/>
  <c r="H120" i="1"/>
  <c r="G120" i="1"/>
  <c r="D20" i="10" l="1"/>
  <c r="D12" i="10"/>
  <c r="C20" i="10"/>
  <c r="C11" i="10" s="1"/>
  <c r="D39" i="10"/>
  <c r="C39" i="10"/>
  <c r="D41" i="10"/>
  <c r="D62" i="10"/>
  <c r="D61" i="10" l="1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C45" i="10"/>
  <c r="D44" i="10"/>
  <c r="C44" i="10"/>
  <c r="C37" i="10" s="1"/>
  <c r="D43" i="10"/>
  <c r="I130" i="1" l="1"/>
  <c r="G130" i="1"/>
  <c r="C10" i="10" l="1"/>
  <c r="D7" i="9" l="1"/>
  <c r="D13" i="9" l="1"/>
  <c r="D9" i="9"/>
  <c r="I142" i="1" l="1"/>
  <c r="H142" i="1"/>
  <c r="F143" i="1"/>
  <c r="I143" i="1" l="1"/>
  <c r="H143" i="1"/>
  <c r="G143" i="1"/>
  <c r="D25" i="10" l="1"/>
  <c r="D24" i="10"/>
  <c r="D23" i="10"/>
  <c r="D22" i="10"/>
  <c r="D21" i="10"/>
  <c r="D18" i="10"/>
  <c r="D17" i="10"/>
  <c r="D16" i="10"/>
  <c r="D15" i="10"/>
  <c r="D14" i="10"/>
  <c r="D13" i="10"/>
  <c r="D11" i="10" l="1"/>
  <c r="D10" i="10" s="1"/>
  <c r="D68" i="10"/>
  <c r="D37" i="10" s="1"/>
  <c r="I117" i="1" l="1"/>
  <c r="G117" i="1"/>
  <c r="I113" i="1"/>
  <c r="G113" i="1"/>
  <c r="G112" i="1" s="1"/>
  <c r="H141" i="1" l="1"/>
  <c r="I141" i="1"/>
  <c r="E141" i="1" l="1"/>
  <c r="F141" i="1"/>
  <c r="G141" i="1"/>
  <c r="I93" i="1" l="1"/>
  <c r="D116" i="1" l="1"/>
  <c r="D79" i="1"/>
  <c r="G116" i="1"/>
  <c r="F116" i="1"/>
  <c r="E93" i="1"/>
  <c r="D93" i="1"/>
  <c r="H93" i="1" l="1"/>
  <c r="G93" i="1"/>
  <c r="I116" i="1"/>
  <c r="D6" i="9" l="1"/>
  <c r="F114" i="1" l="1"/>
  <c r="I114" i="1" s="1"/>
  <c r="I112" i="1" l="1"/>
  <c r="D112" i="1"/>
  <c r="F112" i="1"/>
  <c r="I108" i="1"/>
  <c r="G108" i="1"/>
  <c r="F108" i="1"/>
  <c r="D108" i="1"/>
  <c r="I38" i="1"/>
  <c r="I34" i="1" s="1"/>
  <c r="H38" i="1"/>
  <c r="H34" i="1" s="1"/>
  <c r="G38" i="1"/>
  <c r="G34" i="1" s="1"/>
  <c r="F38" i="1"/>
  <c r="F34" i="1" s="1"/>
  <c r="E38" i="1"/>
  <c r="E34" i="1" s="1"/>
  <c r="I37" i="1"/>
  <c r="I33" i="1" s="1"/>
  <c r="H37" i="1"/>
  <c r="H33" i="1" s="1"/>
  <c r="G37" i="1"/>
  <c r="G33" i="1" s="1"/>
  <c r="F37" i="1"/>
  <c r="F33" i="1" s="1"/>
  <c r="E37" i="1"/>
  <c r="E33" i="1" s="1"/>
  <c r="I36" i="1"/>
  <c r="I32" i="1" s="1"/>
  <c r="H36" i="1"/>
  <c r="H32" i="1" s="1"/>
  <c r="G36" i="1"/>
  <c r="G32" i="1" s="1"/>
  <c r="F36" i="1"/>
  <c r="F32" i="1" s="1"/>
  <c r="E36" i="1"/>
  <c r="E32" i="1" s="1"/>
  <c r="D38" i="1"/>
  <c r="D34" i="1" s="1"/>
  <c r="D37" i="1"/>
  <c r="D33" i="1" s="1"/>
  <c r="D36" i="1"/>
  <c r="D32" i="1" s="1"/>
  <c r="C6" i="9"/>
  <c r="D141" i="1"/>
  <c r="I137" i="1"/>
  <c r="F137" i="1"/>
  <c r="F93" i="1"/>
  <c r="I79" i="1"/>
  <c r="H79" i="1"/>
  <c r="G79" i="1"/>
  <c r="F79" i="1"/>
  <c r="E79" i="1"/>
  <c r="I65" i="1"/>
  <c r="H65" i="1"/>
  <c r="G65" i="1"/>
  <c r="F65" i="1"/>
  <c r="E65" i="1"/>
  <c r="D65" i="1"/>
  <c r="I61" i="1"/>
  <c r="H61" i="1"/>
  <c r="G61" i="1"/>
  <c r="F61" i="1"/>
  <c r="E61" i="1"/>
  <c r="D61" i="1"/>
  <c r="I47" i="1"/>
  <c r="H47" i="1"/>
  <c r="G47" i="1"/>
  <c r="F47" i="1"/>
  <c r="E47" i="1"/>
  <c r="D47" i="1"/>
  <c r="I43" i="1"/>
  <c r="H43" i="1"/>
  <c r="G43" i="1"/>
  <c r="F43" i="1"/>
  <c r="E43" i="1"/>
  <c r="D43" i="1"/>
  <c r="I39" i="1"/>
  <c r="H39" i="1"/>
  <c r="G39" i="1"/>
  <c r="F39" i="1"/>
  <c r="E39" i="1"/>
  <c r="D39" i="1"/>
  <c r="G31" i="1" l="1"/>
  <c r="D31" i="1"/>
  <c r="F31" i="1"/>
  <c r="E31" i="1"/>
  <c r="I31" i="1"/>
  <c r="H31" i="1"/>
  <c r="H35" i="1"/>
  <c r="D35" i="1"/>
  <c r="G35" i="1"/>
  <c r="I35" i="1"/>
  <c r="F35" i="1"/>
  <c r="E35" i="1"/>
</calcChain>
</file>

<file path=xl/sharedStrings.xml><?xml version="1.0" encoding="utf-8"?>
<sst xmlns="http://schemas.openxmlformats.org/spreadsheetml/2006/main" count="1277" uniqueCount="858">
  <si>
    <t>Наименование показателя</t>
  </si>
  <si>
    <t>С начала года</t>
  </si>
  <si>
    <t>Примечание</t>
  </si>
  <si>
    <t>количество</t>
  </si>
  <si>
    <t xml:space="preserve">Покупка                   </t>
  </si>
  <si>
    <t xml:space="preserve">Продажа                   </t>
  </si>
  <si>
    <t>Сделки с векселями - всего</t>
  </si>
  <si>
    <t>013.1</t>
  </si>
  <si>
    <t>013.2</t>
  </si>
  <si>
    <t>013.3</t>
  </si>
  <si>
    <t>013.4</t>
  </si>
  <si>
    <t xml:space="preserve">Сделки с депозитными сертификатами             </t>
  </si>
  <si>
    <t xml:space="preserve">Сделки с производными ценными бумагами          </t>
  </si>
  <si>
    <t xml:space="preserve">Сделки с прочими ценными бумагами                  </t>
  </si>
  <si>
    <t xml:space="preserve">Х </t>
  </si>
  <si>
    <t xml:space="preserve">Х  </t>
  </si>
  <si>
    <t xml:space="preserve">Брокерская                </t>
  </si>
  <si>
    <t xml:space="preserve">Дилерская                 </t>
  </si>
  <si>
    <t xml:space="preserve">Доверительное управление  </t>
  </si>
  <si>
    <t xml:space="preserve">Прочие сделки с ценными бумагами                  </t>
  </si>
  <si>
    <t xml:space="preserve">Из них сделок по договорам мены                      </t>
  </si>
  <si>
    <t>026.1</t>
  </si>
  <si>
    <t>026.2</t>
  </si>
  <si>
    <t>010</t>
  </si>
  <si>
    <t>03</t>
  </si>
  <si>
    <t>029</t>
  </si>
  <si>
    <t>X</t>
  </si>
  <si>
    <t>Раздел II</t>
  </si>
  <si>
    <t>Составляющие работы и услуги профессиональной и биржевой деятельности по ценным бумагам</t>
  </si>
  <si>
    <t>дилерская деятельность</t>
  </si>
  <si>
    <t>депозитарная деятельность</t>
  </si>
  <si>
    <t>деятельность по доверительному управлению ценными бумагами</t>
  </si>
  <si>
    <t>клиринговая деятельность</t>
  </si>
  <si>
    <t>деятельность по организации торговли ценными бумагами</t>
  </si>
  <si>
    <t>прочие работы и услуги, связанные с вышеперечисленными</t>
  </si>
  <si>
    <t>Раздел III</t>
  </si>
  <si>
    <t xml:space="preserve">Акции - всего             </t>
  </si>
  <si>
    <t xml:space="preserve">Облигации - всего         </t>
  </si>
  <si>
    <t xml:space="preserve">Векселя - всего           </t>
  </si>
  <si>
    <t>Раздел IV</t>
  </si>
  <si>
    <t>Раздел VI</t>
  </si>
  <si>
    <t>Номер строки</t>
  </si>
  <si>
    <t>Стоимость чистых активов</t>
  </si>
  <si>
    <t>Раздел I</t>
  </si>
  <si>
    <t>ОПЕРАЦИИ С ЦЕННЫМИ БУМАГАМИ</t>
  </si>
  <si>
    <t>014</t>
  </si>
  <si>
    <t>015</t>
  </si>
  <si>
    <t>016</t>
  </si>
  <si>
    <t>021</t>
  </si>
  <si>
    <t>022</t>
  </si>
  <si>
    <t>023</t>
  </si>
  <si>
    <t>025</t>
  </si>
  <si>
    <t>026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</si>
  <si>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</si>
  <si>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</si>
  <si>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</si>
  <si>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</si>
  <si>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</si>
  <si>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</si>
  <si>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</si>
  <si>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</si>
  <si>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</si>
  <si>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050</t>
  </si>
  <si>
    <t>051</t>
  </si>
  <si>
    <t>052</t>
  </si>
  <si>
    <t>053</t>
  </si>
  <si>
    <t>054</t>
  </si>
  <si>
    <t>ИНФОРМАЦИЯ</t>
  </si>
  <si>
    <t>Приме-чание</t>
  </si>
  <si>
    <t>уставном</t>
  </si>
  <si>
    <t xml:space="preserve">фонде,   </t>
  </si>
  <si>
    <t>%</t>
  </si>
  <si>
    <t xml:space="preserve">Занимаемая 
должность
</t>
  </si>
  <si>
    <t>Справочная информация</t>
  </si>
  <si>
    <t>030</t>
  </si>
  <si>
    <t>Учетный номер плательщика (УНП)</t>
  </si>
  <si>
    <t xml:space="preserve">Профессиональный участник рынка  ценных бумаг  </t>
  </si>
  <si>
    <t>о деятельности профессионального участника рынка ценных бумаг</t>
  </si>
  <si>
    <t>ДОХОДЫ ОТ РЕАЛИЗАЦИИ РАБОТ И УСЛУГ</t>
  </si>
  <si>
    <t xml:space="preserve">В том числе по каждому эмитенту                </t>
  </si>
  <si>
    <t>В том числе по каждому векселедателю</t>
  </si>
  <si>
    <t>СПРАВОЧНАЯ ИНФОРМАЦИЯ</t>
  </si>
  <si>
    <t>Значение показателя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</si>
  <si>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</si>
  <si>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</si>
  <si>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</si>
  <si>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Среднесписочная численность работающих</t>
  </si>
  <si>
    <t>Среднемесячная заработная плата</t>
  </si>
  <si>
    <t>Х</t>
  </si>
  <si>
    <t>человек</t>
  </si>
  <si>
    <t>тысяч рублей</t>
  </si>
  <si>
    <t>М.П.</t>
  </si>
  <si>
    <t>Руководитель</t>
  </si>
  <si>
    <t xml:space="preserve">Код операции  </t>
  </si>
  <si>
    <t xml:space="preserve">За отчетный  квартал  </t>
  </si>
  <si>
    <t>сделок, штук</t>
  </si>
  <si>
    <t>ценных бумаг, штук</t>
  </si>
  <si>
    <t>01</t>
  </si>
  <si>
    <t>02</t>
  </si>
  <si>
    <t>013</t>
  </si>
  <si>
    <t>количество, штук</t>
  </si>
  <si>
    <t>Единица измерения</t>
  </si>
  <si>
    <t>020</t>
  </si>
  <si>
    <t>04</t>
  </si>
  <si>
    <t xml:space="preserve">по состоянию на </t>
  </si>
  <si>
    <t xml:space="preserve">Номер 
аттестата
</t>
  </si>
  <si>
    <t xml:space="preserve"> 
Дата     
окончания
срока    
действия 
аттестата
</t>
  </si>
  <si>
    <t>В том числе: брокерская деятельность</t>
  </si>
  <si>
    <t>031</t>
  </si>
  <si>
    <t>061</t>
  </si>
  <si>
    <t>062</t>
  </si>
  <si>
    <t>063</t>
  </si>
  <si>
    <t>064</t>
  </si>
  <si>
    <t>065</t>
  </si>
  <si>
    <t xml:space="preserve">Количество учетных депозитарных операций        </t>
  </si>
  <si>
    <t>Расторгнуто сделок</t>
  </si>
  <si>
    <t>05</t>
  </si>
  <si>
    <t>Из них расторгнуто сделок</t>
  </si>
  <si>
    <t>060</t>
  </si>
  <si>
    <t>Акции, находящиеся в доверительном управлении - всего</t>
  </si>
  <si>
    <t>051.4</t>
  </si>
  <si>
    <t>Предоставленные займы - всего</t>
  </si>
  <si>
    <t>Прочие финансовые вложения - всего</t>
  </si>
  <si>
    <t xml:space="preserve">В том числе по     каждому эмитенту, по акциям которого рыночная цена не рассчитывалась </t>
  </si>
  <si>
    <t>В том числе по каждому эмитенту, по акциям которого рассчитывалась рыночная цена на дату расчета стоимости чистых активов</t>
  </si>
  <si>
    <t>Именные приватизационные чеки "Имущество"</t>
  </si>
  <si>
    <t>055</t>
  </si>
  <si>
    <t>В том числе по каждому эмитенту</t>
  </si>
  <si>
    <t>В том числе по      каждому заемщику</t>
  </si>
  <si>
    <t>В том числе по     каждому источнику вложения</t>
  </si>
  <si>
    <t>056</t>
  </si>
  <si>
    <t>057</t>
  </si>
  <si>
    <t>058</t>
  </si>
  <si>
    <t>ИНФОРМАЦИЯ О СТРУКТУРЕ ФИНАНСОВЫХ ВЛОЖЕНИЙ И ЦЕННЫХ БУМАГАХ, НАХОДЯЩИХСЯ В ДОВЕРИТЕЛЬНОМ УПРАВЛЕНИИ</t>
  </si>
  <si>
    <t>Финансовые вложения-всего (сумма строк с 051 по 057)</t>
  </si>
  <si>
    <t>051.1</t>
  </si>
  <si>
    <t>051.2</t>
  </si>
  <si>
    <t>051.3</t>
  </si>
  <si>
    <t>х</t>
  </si>
  <si>
    <t>резидентами Российской Федерации</t>
  </si>
  <si>
    <t>01.1</t>
  </si>
  <si>
    <t>резидентами Республики Казахстан</t>
  </si>
  <si>
    <t>резидентами Республики Армения</t>
  </si>
  <si>
    <t>резидентами Кыргызской Республики</t>
  </si>
  <si>
    <t>01.2</t>
  </si>
  <si>
    <t>01.3</t>
  </si>
  <si>
    <t>01.4</t>
  </si>
  <si>
    <t>02.1</t>
  </si>
  <si>
    <t>02.2</t>
  </si>
  <si>
    <t>02.3</t>
  </si>
  <si>
    <t>02.4</t>
  </si>
  <si>
    <t xml:space="preserve">В том числе с  векселями, выданными банками            </t>
  </si>
  <si>
    <t>С векселями, выданными нерезидентами</t>
  </si>
  <si>
    <t xml:space="preserve">в том числе векселей, выданных:  </t>
  </si>
  <si>
    <t>в том числе депозитных сертификатов, выданных:</t>
  </si>
  <si>
    <t xml:space="preserve">в том числе производных ценных бумаг, эмитированных (выданных): 
</t>
  </si>
  <si>
    <t xml:space="preserve">в том числе прочих ценных бумаг, эмитированных (выданных): </t>
  </si>
  <si>
    <t>совершенные с ценными бумагами, эмитированными (выданными):</t>
  </si>
  <si>
    <t>025.2</t>
  </si>
  <si>
    <t>07.1</t>
  </si>
  <si>
    <t>07.2</t>
  </si>
  <si>
    <t>07.3</t>
  </si>
  <si>
    <t>07.4</t>
  </si>
  <si>
    <t>Всего (сумма строк с 041 по 048)</t>
  </si>
  <si>
    <t>Ценные бумаги, эмитированные (выданные) профучастником</t>
  </si>
  <si>
    <t>063.1</t>
  </si>
  <si>
    <t>063.2</t>
  </si>
  <si>
    <t>063.3</t>
  </si>
  <si>
    <t>063.4</t>
  </si>
  <si>
    <t>064.1</t>
  </si>
  <si>
    <t>064.2</t>
  </si>
  <si>
    <t>064.3</t>
  </si>
  <si>
    <t>064.4</t>
  </si>
  <si>
    <t>Доля в уставном фонде профучастника, принадлежащая на праве собственности или ином вещном праве</t>
  </si>
  <si>
    <t>количество акций</t>
  </si>
  <si>
    <t>080</t>
  </si>
  <si>
    <t>рублей</t>
  </si>
  <si>
    <t xml:space="preserve">Заемные средства, привлеченные от клиентов средства и прочие обязательства        </t>
  </si>
  <si>
    <t>081</t>
  </si>
  <si>
    <t>082</t>
  </si>
  <si>
    <t>083</t>
  </si>
  <si>
    <t>084</t>
  </si>
  <si>
    <t>085</t>
  </si>
  <si>
    <t>086</t>
  </si>
  <si>
    <t>Невыполненные обязательства перед кредиторами и по платежам в бюджет</t>
  </si>
  <si>
    <t>087</t>
  </si>
  <si>
    <t>088</t>
  </si>
  <si>
    <t>088.1</t>
  </si>
  <si>
    <t>088.2</t>
  </si>
  <si>
    <t>088.3</t>
  </si>
  <si>
    <t>Доля иностранного капитала в уставном фонде, всего</t>
  </si>
  <si>
    <t>в том числе: резидентов Российской Федерации</t>
  </si>
  <si>
    <t>в том числе: резидентов Республики Казахстан</t>
  </si>
  <si>
    <t>в том числе: резидентов Республики Армения</t>
  </si>
  <si>
    <t>в том числе: резидентов Кыргызской Республики</t>
  </si>
  <si>
    <t>объем сделок, тысяч рублей</t>
  </si>
  <si>
    <t>За отчетный
квартал, 
тысяч рублей</t>
  </si>
  <si>
    <t>С начала 
года,
тысяч рублей</t>
  </si>
  <si>
    <t xml:space="preserve">объем, тысяч рублей </t>
  </si>
  <si>
    <t>01х</t>
  </si>
  <si>
    <t>02х</t>
  </si>
  <si>
    <t>Форма 4</t>
  </si>
  <si>
    <t>внереализационные и операционные доходы</t>
  </si>
  <si>
    <t>Финансовые вложения</t>
  </si>
  <si>
    <t>Ценные бумаги в доверительном управлении</t>
  </si>
  <si>
    <t xml:space="preserve"> ДЕПОЗИТАРНАЯ ДЕЯТЕЛЬНОСТЬ</t>
  </si>
  <si>
    <t>Количество счетов "депо", открытых  эмитентам, являющимся  открытыми акционерными обществами</t>
  </si>
  <si>
    <t>Количество счетов "депо", открытых  эмитентам, являющимся  закрытыми акционерными обществами</t>
  </si>
  <si>
    <t>Количество счетов "депо", открытых  эмитентам облигаций, не являющимся акционерными обществами</t>
  </si>
  <si>
    <t xml:space="preserve">Полное наименование, местонахождение либо фамилия, собственное имя, отчество (если таковое имеется) собственника имущества, участников, руководителей и  работников, включая совместителей (кроме обслуживающего персонала)
</t>
  </si>
  <si>
    <t>руководитель организации или</t>
  </si>
  <si>
    <t>индивидуальный предприниматель,</t>
  </si>
  <si>
    <t>по ведению бухгалтерского учета</t>
  </si>
  <si>
    <t>и составлению бухгалтерской</t>
  </si>
  <si>
    <t>и (или) финансовой отчетности</t>
  </si>
  <si>
    <t>Главный бухгалтер либо</t>
  </si>
  <si>
    <t>Исполнитель</t>
  </si>
  <si>
    <t xml:space="preserve">резидентам Российской Федерации </t>
  </si>
  <si>
    <t xml:space="preserve">Количество счетов ”депо“, открытых депонентам, не являющимся эмитентами (за исключением накопительных счетов ”депо“) в том числе открытых: </t>
  </si>
  <si>
    <t>резидентам Республики Казахстан</t>
  </si>
  <si>
    <t>резидентам Республики Армения</t>
  </si>
  <si>
    <t xml:space="preserve">резидентам Кыргызской Республики </t>
  </si>
  <si>
    <t xml:space="preserve">Местонахождение, индекс, почтовый адрес, телефон, факс (с междугородным кодом), банковские реквизиты      </t>
  </si>
  <si>
    <t>Прочие ценные бумаги - всего</t>
  </si>
  <si>
    <t>Количество открытых накопительных счетов ”депо“ в том числе открытых:</t>
  </si>
  <si>
    <t>Раздел VII</t>
  </si>
  <si>
    <t>Представляется не позднее 35 календарных дней, следующих за отчетным кварталом (ежеквартальный отчет), и не позднее 30 апреля года, следующего за отчетным (годовой отчет), в Департамент по ценным бумагам</t>
  </si>
  <si>
    <t>Приложение                                                                               к Инструкции о порядке раскрытия информации на рынке ценных бумаг</t>
  </si>
  <si>
    <t xml:space="preserve">Получено по договорам мены ценных бумаг     </t>
  </si>
  <si>
    <t>Передано по договорам мены ценных бумаг</t>
  </si>
  <si>
    <t>Совершено сделок купли-продажи ценных бумаг  -  всего (строка 010 = строка 013 + строка 014 + строка 015 + строка 016)</t>
  </si>
  <si>
    <t>с векселями, выданными юридическими лицами - резидентами Республики Беларусь</t>
  </si>
  <si>
    <t xml:space="preserve">с прочими векселями       </t>
  </si>
  <si>
    <t>Количество зарегистрированных сделок с ценными бумагами, в которых профучастник не выступал стороной сделки</t>
  </si>
  <si>
    <t>Сделки со всеми видами ценных бумаг, эмитированными (выданными) профучастником</t>
  </si>
  <si>
    <t>ИНФОРМАЦИЯ О СОБСТВЕННИКЕ ИМУЩЕСТВА ИЛИ УЧАСТНИКАХ, РАБОТНИКАХ И                                                РУКОВОДИТЕЛЯХ ПРОФУЧАСТНИКОВ</t>
  </si>
  <si>
    <t>доля в   
уставном 
фонде,   
%</t>
  </si>
  <si>
    <t>_____ ______________ 20___ г.</t>
  </si>
  <si>
    <t xml:space="preserve">     (инициалы, фамилия)</t>
  </si>
  <si>
    <t xml:space="preserve"> (подпись)</t>
  </si>
  <si>
    <t>(должность, фамилия, инициалы,         телефон исполнителя)</t>
  </si>
  <si>
    <t>Адрес электронной почты</t>
  </si>
  <si>
    <t xml:space="preserve">оказывающие профессиональному                                                               участнику рынка ценных бумаг услуги </t>
  </si>
  <si>
    <t>Открытое акционерное общество "Белагропромбанк"</t>
  </si>
  <si>
    <t xml:space="preserve">220036, г.Минск, пр-т Жукова, 3, тел. +375 (17) 218 57 15, 218 57 77, факс +375 (17) 218 57 14, кор.счет в Национальном банке Республики Беларусь: BY33NBRB32000096400110000000, БИК NBRBBY2X </t>
  </si>
  <si>
    <t>info@belapb.by</t>
  </si>
  <si>
    <t>Абрамов Сергей Владимирович</t>
  </si>
  <si>
    <t>Начальник центра банковских услуг</t>
  </si>
  <si>
    <t>6213-1-17373</t>
  </si>
  <si>
    <t>Аксючиц Наталья Витольдовна</t>
  </si>
  <si>
    <t>Заместитель начальника центра банковских услуг</t>
  </si>
  <si>
    <t>Александрович Татьяна Владимировна</t>
  </si>
  <si>
    <t xml:space="preserve">Начальник отдела собственных ценных бумаг Управления ценных бумаг </t>
  </si>
  <si>
    <t>5200-1-19483</t>
  </si>
  <si>
    <t>Алексеева Жанна Алексеевна</t>
  </si>
  <si>
    <t>Заместитель начальника Региональной дирекции</t>
  </si>
  <si>
    <t>7401-2-19796</t>
  </si>
  <si>
    <t>Алисенок Анастасия Михайловна</t>
  </si>
  <si>
    <t>5200-1-19918</t>
  </si>
  <si>
    <t>Андрияшева Ольга Владимировна</t>
  </si>
  <si>
    <t xml:space="preserve">Начальник центра банковских услуг </t>
  </si>
  <si>
    <t>7254-2-18920</t>
  </si>
  <si>
    <t>Главный экономист депозитария ценных бумаг Управления ценных бумаг</t>
  </si>
  <si>
    <t>Астапенко Ольга Владимировна</t>
  </si>
  <si>
    <t>Главный экономист Управления учета хозяйственных договоров центра бухгалтерского учета внутрибанковских операций</t>
  </si>
  <si>
    <t>7220-2-17312</t>
  </si>
  <si>
    <t>Главный специалист отдела сопровождения работы корпоративного бизнеса</t>
  </si>
  <si>
    <t>Балышкина Марина Ивановна</t>
  </si>
  <si>
    <t>Начальник региональной дирекции по Гомельской области</t>
  </si>
  <si>
    <t>3401-1-19418</t>
  </si>
  <si>
    <t>Басолбасов Сергей Владимирович</t>
  </si>
  <si>
    <t>7240-2-19243</t>
  </si>
  <si>
    <t>Бахур Татьяна Викторовна</t>
  </si>
  <si>
    <t>Главный специалист отдела корпоративного бизнеса</t>
  </si>
  <si>
    <t>1234-2-18175</t>
  </si>
  <si>
    <t>Бережная Ольга Александровна</t>
  </si>
  <si>
    <t>Главный экономист отдела инвестиций и корпоративного финансирования Управления ценных бумаг</t>
  </si>
  <si>
    <t>6236-2-19745</t>
  </si>
  <si>
    <t>Декретный отпуск</t>
  </si>
  <si>
    <t>Бернухова Людмила Леонидовна</t>
  </si>
  <si>
    <t>1234-1-18393</t>
  </si>
  <si>
    <t>Бехова Татьяна Ивановна</t>
  </si>
  <si>
    <t>Ведущий специалист сектора директивного кредитования</t>
  </si>
  <si>
    <t>7220-2-18490</t>
  </si>
  <si>
    <t>Биндей Виктор Евгеньевич</t>
  </si>
  <si>
    <t xml:space="preserve">Начальник отдела сопровождения работы корпоративного бизнеса </t>
  </si>
  <si>
    <t>4401-1-19810</t>
  </si>
  <si>
    <t>Ведущий экономист депозитария ценных бумаг Управления ценных бумаг</t>
  </si>
  <si>
    <t>Божко Виктория Александровна</t>
  </si>
  <si>
    <t>Начальник сектора корпоративного бизнеса</t>
  </si>
  <si>
    <t>6228-2-17405</t>
  </si>
  <si>
    <t>Боневич Ирина Ивановна</t>
  </si>
  <si>
    <t>Начальник отдела розничных продаж</t>
  </si>
  <si>
    <t>1240-2-19232</t>
  </si>
  <si>
    <t>Бородич Валерия Александровна</t>
  </si>
  <si>
    <t>Начальник Секретариата</t>
  </si>
  <si>
    <t>5200-3-19256</t>
  </si>
  <si>
    <t>Брецкая Любовь Степановна</t>
  </si>
  <si>
    <t>6404-2-19036</t>
  </si>
  <si>
    <t>Бугаев Геннадий Александрович</t>
  </si>
  <si>
    <t>Начальник  центра банковских услуг</t>
  </si>
  <si>
    <t>1208-1-18648</t>
  </si>
  <si>
    <t>Будник Александр Иванович</t>
  </si>
  <si>
    <t xml:space="preserve">Первый заместитель начальника Региональной дирекции </t>
  </si>
  <si>
    <t>7401-1-19637</t>
  </si>
  <si>
    <t>Будник Дмитрий Николаевич</t>
  </si>
  <si>
    <t>Бурачкова Ирина Ивановна</t>
  </si>
  <si>
    <t xml:space="preserve">Начальник сектора корпоративного бизнеса </t>
  </si>
  <si>
    <t>7250-2-18087</t>
  </si>
  <si>
    <t>Бухтик Александр Сергеевич</t>
  </si>
  <si>
    <t>Начальник отдела по работе с малым и средним бизнесом</t>
  </si>
  <si>
    <t>Валицкая Елена Эрнастовна</t>
  </si>
  <si>
    <t>Ведущий специалист депозитария ценных бумаг Управления ценных бумаг</t>
  </si>
  <si>
    <t>5200-1-19617</t>
  </si>
  <si>
    <t>Васькович Юлия Сергеевна</t>
  </si>
  <si>
    <t>Главный специалист отдела развития платежных систем и партнерских отношений Депаратамента платежной инфраструктуры и электронной коммерции</t>
  </si>
  <si>
    <t>5200-2-17335</t>
  </si>
  <si>
    <t>Вердыш Светлана Вячеславовна</t>
  </si>
  <si>
    <t>Главный специалист отдела координации работы корпоративного бизнеса</t>
  </si>
  <si>
    <t>Вишневская Вероника Валентиновна</t>
  </si>
  <si>
    <t>Экономист 1 категории депозитария ценных бумаг Управления ценных бумаг</t>
  </si>
  <si>
    <t>5200-1-18775</t>
  </si>
  <si>
    <t>Воднева Наталья Васильевна</t>
  </si>
  <si>
    <t>Начальник отдела сопровождения работы корпоративного бизнеса</t>
  </si>
  <si>
    <t>3235-1-19421</t>
  </si>
  <si>
    <t>Войтик Светлана Кирилловна</t>
  </si>
  <si>
    <t>Начальник отдела по работе с корпоративным бизнесом</t>
  </si>
  <si>
    <t>6242-1-18377</t>
  </si>
  <si>
    <t>Волуевич (Буко)  Маргарита Витальевна</t>
  </si>
  <si>
    <t>Ведущий специалист отдела валютных операций и валютного контроля по Брестской области Управления методологии регулирования и контроля валютных операций Департамента валютного регулирования и контроля</t>
  </si>
  <si>
    <t>1445-2-18786</t>
  </si>
  <si>
    <t>Воронович Ольга Константиновна</t>
  </si>
  <si>
    <t>Главный специалист сектора корпоративного бизнеса</t>
  </si>
  <si>
    <t>2208-2-17735</t>
  </si>
  <si>
    <t>Воропаева Жанна Анатольевна</t>
  </si>
  <si>
    <t>6430-2-18751</t>
  </si>
  <si>
    <t>Гаврик Марина Васильевна</t>
  </si>
  <si>
    <t>Специалист 1 категории отдела сопровождения работы корпоративного бизнеса</t>
  </si>
  <si>
    <t>3401-1-18822</t>
  </si>
  <si>
    <t>Гагарина Юлия Александровна</t>
  </si>
  <si>
    <t xml:space="preserve">Ведущий специалист отдела координации работы корпоративного бизнеса </t>
  </si>
  <si>
    <t>4401-1-19811</t>
  </si>
  <si>
    <t>Гаевская Александра Вацлавовна</t>
  </si>
  <si>
    <t>4249-2-18700</t>
  </si>
  <si>
    <t>Гайдаш Елена Васильевна</t>
  </si>
  <si>
    <t xml:space="preserve">Ведущий специалист сектора корпоративного бизнеса </t>
  </si>
  <si>
    <t>7248-1-19215</t>
  </si>
  <si>
    <t>Гайдукевич Андрей Иосифович</t>
  </si>
  <si>
    <t>Первый заместитель начальника Региональной дирекции</t>
  </si>
  <si>
    <t>4401-1-19401</t>
  </si>
  <si>
    <t>Гайдукович Наталья Валентиновна</t>
  </si>
  <si>
    <t>Главный специалист отдела по работе с корпоративным бизнесом</t>
  </si>
  <si>
    <t>6420-1-19054</t>
  </si>
  <si>
    <t>Гаркуша Артур Олегович</t>
  </si>
  <si>
    <t>Менеджер Управления общего сопровождения банковских операций</t>
  </si>
  <si>
    <t>3401-1-19413</t>
  </si>
  <si>
    <t>Герцык Ольга Анатольевна</t>
  </si>
  <si>
    <t>7410-2-18489</t>
  </si>
  <si>
    <t>Гладкий Андрей Ярославович</t>
  </si>
  <si>
    <t>4249-2-18471</t>
  </si>
  <si>
    <t>Голдин Алексей Евгеньевич</t>
  </si>
  <si>
    <t>Заместитель начальника  центра банковских услуг - начальник отдела розничных продаж</t>
  </si>
  <si>
    <t>1247-2-18670</t>
  </si>
  <si>
    <t>Голенда Людмила Михайловна</t>
  </si>
  <si>
    <t xml:space="preserve">Заместитель начальника Региональной дирекции </t>
  </si>
  <si>
    <t>5200-2-18669</t>
  </si>
  <si>
    <t xml:space="preserve"> 15.04.2022</t>
  </si>
  <si>
    <t>Головко Инна Геннадьевна</t>
  </si>
  <si>
    <t xml:space="preserve">Главный экономист отдела собственных ценных бумаг Управления ценных бумаг </t>
  </si>
  <si>
    <t>5200-1-18777</t>
  </si>
  <si>
    <t>Горбель Андрей Михайлович</t>
  </si>
  <si>
    <t>Начальник Региональной дирекции по Могилевской области</t>
  </si>
  <si>
    <t>7401-1-17636</t>
  </si>
  <si>
    <t>Горлова Лариса Ивановна</t>
  </si>
  <si>
    <t>Горошко Сергей Святославович</t>
  </si>
  <si>
    <t>Заместитель начальника Управления операций на финансовых рынках Казначейства</t>
  </si>
  <si>
    <t>5200-2-19669</t>
  </si>
  <si>
    <t>Горщарук Наталья Михайловна</t>
  </si>
  <si>
    <t>Начальник Региональной дирекции по Брестской области</t>
  </si>
  <si>
    <t>1401-1-19204</t>
  </si>
  <si>
    <t>Грибовский Юрий Григорьевич</t>
  </si>
  <si>
    <t xml:space="preserve">Главный специалист отдела координации работы корпоративного бизнеса </t>
  </si>
  <si>
    <t>7401-1-19920</t>
  </si>
  <si>
    <t>Грибок Татьяна Ивановна</t>
  </si>
  <si>
    <t>2255-2-19831</t>
  </si>
  <si>
    <t>Грика Наталья Сергеевна</t>
  </si>
  <si>
    <t>Главный специалист отдела координации работы розничного бизнеса</t>
  </si>
  <si>
    <t>1401-2-19233</t>
  </si>
  <si>
    <t>Гринь Валентина Ивановна</t>
  </si>
  <si>
    <t>3200-1-17728</t>
  </si>
  <si>
    <t>Грищенко Андрей Леонидович</t>
  </si>
  <si>
    <t>7410-1-18789</t>
  </si>
  <si>
    <t>Громыко Раиса Николаевна</t>
  </si>
  <si>
    <t>Ведущий экономист Управления расчетов с персоналом центра бухгалтерского учета внутрибанковских операций</t>
  </si>
  <si>
    <t>6254-1-17704</t>
  </si>
  <si>
    <t>Гуринович Ирина Николаевна</t>
  </si>
  <si>
    <t>Главный специалист Управления копоративного бизнеса Департамента корпоративного бизнеса</t>
  </si>
  <si>
    <t>5200-1-18823</t>
  </si>
  <si>
    <t>Гуща Ольга Николаевна</t>
  </si>
  <si>
    <t>2412-1-19070</t>
  </si>
  <si>
    <t xml:space="preserve"> 30.11.2022</t>
  </si>
  <si>
    <t>Дайнеко Наталья Васильевна</t>
  </si>
  <si>
    <t>7401-1-17472</t>
  </si>
  <si>
    <t>Дедорова Ольга Александровна</t>
  </si>
  <si>
    <t>Ведущий экономист отдела собственных ценных бумаг Управления ценных бумаг</t>
  </si>
  <si>
    <t>5200-1-18619</t>
  </si>
  <si>
    <t>Дедук Наталья Ивановна</t>
  </si>
  <si>
    <t>4240-2-18701</t>
  </si>
  <si>
    <t>Демидова Людмила Дмитриевна</t>
  </si>
  <si>
    <t>Начальник отдела координации работы корпоративного бизнеса</t>
  </si>
  <si>
    <t>3401-1-18570</t>
  </si>
  <si>
    <t>Дмитроченко Денис Евгеньевич</t>
  </si>
  <si>
    <t xml:space="preserve">Главный специалист отдела малого и среднего бизнеса </t>
  </si>
  <si>
    <t>7401-1-17745</t>
  </si>
  <si>
    <t>Дробышевский Дмитрий Анатольевич</t>
  </si>
  <si>
    <t>2412-1-18253</t>
  </si>
  <si>
    <t>Дубов Александр Алексеевич</t>
  </si>
  <si>
    <t>Первый заместитель начальника Региональной дирекции по Минской области</t>
  </si>
  <si>
    <t>6425-1-18050</t>
  </si>
  <si>
    <t>Елисеенко Алла Григорьевна</t>
  </si>
  <si>
    <t>7225-2-18387</t>
  </si>
  <si>
    <t>Жданович Ольга Валерьевна</t>
  </si>
  <si>
    <t>Менеджер по обслуживанию частных клиентов</t>
  </si>
  <si>
    <t>1247-1-19043</t>
  </si>
  <si>
    <t>Жингель Олег Валентинович</t>
  </si>
  <si>
    <t>Начальник Региональной дирекции по Витебской области</t>
  </si>
  <si>
    <t>2401-1-18402</t>
  </si>
  <si>
    <t>Жушма Екатерина Анатольевна</t>
  </si>
  <si>
    <t>Главный специалист сектора сопровождения работы корпоративного бизнеса</t>
  </si>
  <si>
    <t>Зиневич Ольга Игоревна</t>
  </si>
  <si>
    <t xml:space="preserve">Заместитель начальника отдела розничных услуг </t>
  </si>
  <si>
    <t>7410-2-19682</t>
  </si>
  <si>
    <t>Иванова Татьяна Николаевна</t>
  </si>
  <si>
    <t>4208-2-18531</t>
  </si>
  <si>
    <t>Калаева Надежда Михайловна</t>
  </si>
  <si>
    <t xml:space="preserve">Директор Казначейства </t>
  </si>
  <si>
    <t>6254-1-19664</t>
  </si>
  <si>
    <t>Калиберова Олеся Викторовна</t>
  </si>
  <si>
    <t>Заместитель начальника отдела розничных продаж</t>
  </si>
  <si>
    <t>3401-2-17474</t>
  </si>
  <si>
    <t>Каменецкий Виталий Казимирович</t>
  </si>
  <si>
    <t>Ведущий специалист отдела корпоративного бизнеса</t>
  </si>
  <si>
    <t>2240-2-18176</t>
  </si>
  <si>
    <t>Капацевич Сергей Вячеславович</t>
  </si>
  <si>
    <t>4233-2-19245</t>
  </si>
  <si>
    <t>Карповец Анастасия Александровна</t>
  </si>
  <si>
    <t xml:space="preserve">Специалист 1 категории отдела по работе с корпоративным бизнесом </t>
  </si>
  <si>
    <t>7401-1-19072</t>
  </si>
  <si>
    <t>Кацер Сергей Васильевич</t>
  </si>
  <si>
    <t>2401-1-18860</t>
  </si>
  <si>
    <t>Качанова Ольга Владимировна</t>
  </si>
  <si>
    <t>Заместитель начальника депозитария ценных бумаг Управления ценных бумаг</t>
  </si>
  <si>
    <t>Кашкевич Мария Андреевна</t>
  </si>
  <si>
    <t>Ведущий специалист отдела по работе с уполномоченными органами Управления общего сопровождения банковских операций</t>
  </si>
  <si>
    <t>6200-1-19057</t>
  </si>
  <si>
    <t>Кащиц Наталья Владимировна</t>
  </si>
  <si>
    <t>Главный специалист сектора по работе с корпоративным бизнесом</t>
  </si>
  <si>
    <t>4208-2-19313</t>
  </si>
  <si>
    <t>Кириченко Ольга Александровна</t>
  </si>
  <si>
    <t>Начальник отдела собственных ценных бумаг Управления ценных бумаг</t>
  </si>
  <si>
    <t>5200-1-18661</t>
  </si>
  <si>
    <t>Клещук Наталия Васильевна</t>
  </si>
  <si>
    <t>1234-1-19326</t>
  </si>
  <si>
    <t>Ковалёва Светлана Анатольевна</t>
  </si>
  <si>
    <t>2401-1-19025</t>
  </si>
  <si>
    <t>Коваленко Людмила Ивановна</t>
  </si>
  <si>
    <t>Начальник Управления ценных бумаг</t>
  </si>
  <si>
    <t>5200-1-18662</t>
  </si>
  <si>
    <t>Кожемяко Зоя Петровна</t>
  </si>
  <si>
    <t>6230-1-18090</t>
  </si>
  <si>
    <t>Козич Юрий Иванович</t>
  </si>
  <si>
    <t>1401-1-17457</t>
  </si>
  <si>
    <t>Козлов Александр Евгеньевич</t>
  </si>
  <si>
    <t>Главный специалист  отдела розничных продаж</t>
  </si>
  <si>
    <t>4258-2-17659</t>
  </si>
  <si>
    <t>Колеченок Наталья Владимировна</t>
  </si>
  <si>
    <t>5200-1-19207</t>
  </si>
  <si>
    <t>Кондратович Алла Алексеевна</t>
  </si>
  <si>
    <t>1204-2-17398</t>
  </si>
  <si>
    <t>Кононович Сергей Григорьевич</t>
  </si>
  <si>
    <t>5200-1-19083</t>
  </si>
  <si>
    <t>Королёва Елена Александровна</t>
  </si>
  <si>
    <t>7258-2-18255</t>
  </si>
  <si>
    <t>Кочубей Инесса Константиновна</t>
  </si>
  <si>
    <t>6225-2-18256</t>
  </si>
  <si>
    <t>Красненко Виктория Владимировна</t>
  </si>
  <si>
    <t>2401-2-18922</t>
  </si>
  <si>
    <t>Крупнева Татьяна Валерьевна</t>
  </si>
  <si>
    <t>3247-1-17573</t>
  </si>
  <si>
    <t>Куделя Александр Александрович</t>
  </si>
  <si>
    <t xml:space="preserve">Первый заместитель начальника региональной дирекции </t>
  </si>
  <si>
    <t>4200-1-18051</t>
  </si>
  <si>
    <t>Кузнецова (Филистович) Наталья Геннадьевна</t>
  </si>
  <si>
    <t>6234-2-17316</t>
  </si>
  <si>
    <t>Кузьмина Елена Андреевна</t>
  </si>
  <si>
    <t>Ведущий специалист отдела сопровождения работы корпоративного бизнеса</t>
  </si>
  <si>
    <t>Кулевич Геннадий Анатольевич</t>
  </si>
  <si>
    <t>6230-1-19226</t>
  </si>
  <si>
    <t>Кургун Юлия Александровна</t>
  </si>
  <si>
    <t>4401-1-18809</t>
  </si>
  <si>
    <t>Лавицкая Елена Алексеевна</t>
  </si>
  <si>
    <t>Начальник депозитария ценных бумаг Управления ценных бумаг</t>
  </si>
  <si>
    <t>5200-1-18484</t>
  </si>
  <si>
    <t>Ласута Надежда Александровна</t>
  </si>
  <si>
    <t>Специалист 1 категории депозитария ценных бумаг Управления ценных бумаг</t>
  </si>
  <si>
    <t>5200-1-17643</t>
  </si>
  <si>
    <t>Левчук (Павлова) Александра Васильевна</t>
  </si>
  <si>
    <t>5200-1-19753</t>
  </si>
  <si>
    <t>Левчук Ирина Леонидовна</t>
  </si>
  <si>
    <t>1401-2-19234</t>
  </si>
  <si>
    <t>Лелес Артур Юрьевич</t>
  </si>
  <si>
    <t>7401-1-18622</t>
  </si>
  <si>
    <t>Лисовский Кирилл Сергеевич</t>
  </si>
  <si>
    <t>2244-1-19178</t>
  </si>
  <si>
    <t>Ловенецкая Елена Анатольевна</t>
  </si>
  <si>
    <t xml:space="preserve">Главный специалист отдела сопровождения работы корпоративного бизнеса </t>
  </si>
  <si>
    <t>7401-1-19403</t>
  </si>
  <si>
    <t>Лозинская Лариса Михайловна</t>
  </si>
  <si>
    <t>Главный специалист отдела валютных операций и валютного контроля по Брестской области Управления методологии регулирования и контроля валютных операций Департамента валютного регулирования и контроля</t>
  </si>
  <si>
    <t>1208-2-17259</t>
  </si>
  <si>
    <t>Лотыш Денис Иванович</t>
  </si>
  <si>
    <t>2401-2-18671</t>
  </si>
  <si>
    <t>Ляшко Галина Григорьевна</t>
  </si>
  <si>
    <t>1258-1-17309</t>
  </si>
  <si>
    <t>Макар Олег Владимирович</t>
  </si>
  <si>
    <t>5200-1-19210</t>
  </si>
  <si>
    <t>Максимова Галина Карловна</t>
  </si>
  <si>
    <t>6244-1-19026</t>
  </si>
  <si>
    <t>Малащук Валентина Даниловна</t>
  </si>
  <si>
    <t>3218-2-18214</t>
  </si>
  <si>
    <t>Малуха Александр Николаевич</t>
  </si>
  <si>
    <t>4243-1-18526</t>
  </si>
  <si>
    <t>Малявко Александр Иванович</t>
  </si>
  <si>
    <t>4243-1-19126</t>
  </si>
  <si>
    <t>Манькова Галина Эдуардовна</t>
  </si>
  <si>
    <t>Начальник сектора продаж казначейских продуктов Управления операций на финансовых рынках Казначейства</t>
  </si>
  <si>
    <t>5200-2-18072</t>
  </si>
  <si>
    <t>Маркулевич (Король) Елена Георгиевна</t>
  </si>
  <si>
    <t>3243-2-18449</t>
  </si>
  <si>
    <t>Медведь Виктор Дмитриевич</t>
  </si>
  <si>
    <t>1208-2-18813</t>
  </si>
  <si>
    <t>Мижевич Александр Васильевич</t>
  </si>
  <si>
    <t>Менеджер по региональному развитию Региональной дирекции по Минской области</t>
  </si>
  <si>
    <t>5200-1-19058</t>
  </si>
  <si>
    <t>Можейко Александр Федорович</t>
  </si>
  <si>
    <t>2435-2-19406</t>
  </si>
  <si>
    <t>Молчанский Павел Евгеньевич</t>
  </si>
  <si>
    <t>Заместитель директора Казначейства - начальник Управления операций на финансовых рынках</t>
  </si>
  <si>
    <t>5200-1-17639</t>
  </si>
  <si>
    <t>Москвич Лариса Владимировна</t>
  </si>
  <si>
    <t xml:space="preserve">Начальник отдела координации корпоративного бизнеса Региональной дирекции </t>
  </si>
  <si>
    <t>5200-2-18752</t>
  </si>
  <si>
    <t>Мохорева Надежда Ивановна</t>
  </si>
  <si>
    <t>Начальник сектора корпоративного управления Секретариата</t>
  </si>
  <si>
    <t>Мощенская Ольга Леонидовна</t>
  </si>
  <si>
    <t>7248-2-18616</t>
  </si>
  <si>
    <t>Мурашко Ольга Петровна</t>
  </si>
  <si>
    <t>Главный специалист по обслуживанию частных клинтов</t>
  </si>
  <si>
    <t xml:space="preserve">3415-2-19512 </t>
  </si>
  <si>
    <t>Наварич Ольга Васильевна</t>
  </si>
  <si>
    <t>5200-1-19629</t>
  </si>
  <si>
    <t>Насанович (Сегай) Кристина Владимировна</t>
  </si>
  <si>
    <t>5200-1-19091</t>
  </si>
  <si>
    <t>Наумович Дмитрий Александрович</t>
  </si>
  <si>
    <t>1243-2-18702</t>
  </si>
  <si>
    <t>Неверовская Жанна Алексеевна</t>
  </si>
  <si>
    <t>1410-2-18040</t>
  </si>
  <si>
    <t>Нибиек Елена Владимировна</t>
  </si>
  <si>
    <t>Никитина Надежда Павловна</t>
  </si>
  <si>
    <t>1240-1-18811</t>
  </si>
  <si>
    <t>Норик Владимир Романович</t>
  </si>
  <si>
    <t>4200-2-19066</t>
  </si>
  <si>
    <t>Окулов Андрей Александрович</t>
  </si>
  <si>
    <t>6404-1-19028</t>
  </si>
  <si>
    <t>Орлова Ирина Игоревна</t>
  </si>
  <si>
    <t>5200-1-18803</t>
  </si>
  <si>
    <t>Осетрова Татьяна Викторовна</t>
  </si>
  <si>
    <t>Главный специалист по работе с корпоративным бизнесом</t>
  </si>
  <si>
    <t>2200-2-19415</t>
  </si>
  <si>
    <t>Островская Виктория Антоновна</t>
  </si>
  <si>
    <t>Главный специалист Управления операций на финансовых рынках Казначейства</t>
  </si>
  <si>
    <t>5200-1-19507</t>
  </si>
  <si>
    <t>Остроух Наталья Николаевна</t>
  </si>
  <si>
    <t>6228-1-17393</t>
  </si>
  <si>
    <t>Отарова Оксана Нургалиевна</t>
  </si>
  <si>
    <t>6240-2-17388</t>
  </si>
  <si>
    <t>Папко Нина Петровна</t>
  </si>
  <si>
    <t>3243-2-18369</t>
  </si>
  <si>
    <t>Петухова Светлана Владимировна</t>
  </si>
  <si>
    <t>2200-2-18673</t>
  </si>
  <si>
    <t>Петушкова Елена Михайловна</t>
  </si>
  <si>
    <t xml:space="preserve">Начальник сектора по работе с малым и средним бизнесом </t>
  </si>
  <si>
    <t>7240-2-18257</t>
  </si>
  <si>
    <t>Пиво Вадим Владимирович</t>
  </si>
  <si>
    <t>1401-2-18294</t>
  </si>
  <si>
    <t>Плешакова Олеся Владимировна</t>
  </si>
  <si>
    <t xml:space="preserve">Заместитель начальника центра банковских услуг </t>
  </si>
  <si>
    <t>7250-2-17475</t>
  </si>
  <si>
    <t>Плиско Наталья Яковлевна</t>
  </si>
  <si>
    <t>6230-2-18093</t>
  </si>
  <si>
    <t>Плюскова Елена Вячеславовна</t>
  </si>
  <si>
    <t>Главный специалист отдела расчетов Управления сопровождения операций корпоративного бизнеса центра сопровождения банковских операций</t>
  </si>
  <si>
    <t>2208-2-18674</t>
  </si>
  <si>
    <t>Побат Ирина Андреевна</t>
  </si>
  <si>
    <t>5200-1-19812</t>
  </si>
  <si>
    <t>Подгайский Виктор Зенонович</t>
  </si>
  <si>
    <t>6220-1-19592</t>
  </si>
  <si>
    <t>Подобед Кирилл Викторович</t>
  </si>
  <si>
    <t>Главный экономист отдела комплаенс-контроля Могилевской области Управления внутреннего контроля</t>
  </si>
  <si>
    <t>7401-1-17322</t>
  </si>
  <si>
    <t>Подобед Мария Александровна</t>
  </si>
  <si>
    <t>5200-1-18795</t>
  </si>
  <si>
    <t>Полежай Елена Михайловна</t>
  </si>
  <si>
    <t>4208-1-18796</t>
  </si>
  <si>
    <t>Прейс Виктория Викторовна</t>
  </si>
  <si>
    <t xml:space="preserve">Ведущий специалист отдела координации работы розничного бизнеса </t>
  </si>
  <si>
    <t>7401-2-18787</t>
  </si>
  <si>
    <t>Пресняк Светлана Ивановна</t>
  </si>
  <si>
    <t>4208-2-19518</t>
  </si>
  <si>
    <t>Пролесковская Анастасия Игоревна</t>
  </si>
  <si>
    <t>Протасевич Наталья Валерьевна</t>
  </si>
  <si>
    <t>6420-1-18527</t>
  </si>
  <si>
    <t>Романовский Анатолий Евгеньевич</t>
  </si>
  <si>
    <t>6425-2-18524</t>
  </si>
  <si>
    <t>Рубанов Виталий Михайлович</t>
  </si>
  <si>
    <t>7220-2-19247</t>
  </si>
  <si>
    <t>Рубисова Елена Романовна</t>
  </si>
  <si>
    <t>Главный специалист отдела валютных опреаций и валютного контроля по Гомельской области Управления методологии регулирования и контроля валютных операций Департамента валютного регулирования и контроля</t>
  </si>
  <si>
    <t xml:space="preserve">3247-2-19067 </t>
  </si>
  <si>
    <t>Рускевич Валентина Григорьевна</t>
  </si>
  <si>
    <t>Заместитель начальника центра банковских услуг - начальник отдела корпоративного бизнеса</t>
  </si>
  <si>
    <t>6430-1-18383</t>
  </si>
  <si>
    <t>Рыжова Татьяна Валерьевна</t>
  </si>
  <si>
    <t>Начальник отдела организации розничных продаж</t>
  </si>
  <si>
    <t>6252-2-17258</t>
  </si>
  <si>
    <t>Рябченко Ольга Александровна</t>
  </si>
  <si>
    <t>Главный  экономист депозитария ценных бумаг Управления ценных бумаг</t>
  </si>
  <si>
    <t>5200-1-19387</t>
  </si>
  <si>
    <t>Савченко Оксана Игоревна</t>
  </si>
  <si>
    <t>5200-1-19388</t>
  </si>
  <si>
    <t>Савчик Сергей Иванович</t>
  </si>
  <si>
    <t>Заместитель начальника Управления-начальник отдела инвестиций и корпоративного финансирования Управления ценных бумаг</t>
  </si>
  <si>
    <t>5200-1-18936</t>
  </si>
  <si>
    <t>Сазанович Павел Николаевич</t>
  </si>
  <si>
    <t>4243-1-18528</t>
  </si>
  <si>
    <t>Самусев Сергей Александрович</t>
  </si>
  <si>
    <t>2401-1-18861</t>
  </si>
  <si>
    <t>Сачивко Мария Николаевна</t>
  </si>
  <si>
    <t>2418-1-19648</t>
  </si>
  <si>
    <t>Свадковский Николай Викторович</t>
  </si>
  <si>
    <t>Главный специалист отдела координации работы директивного кредитования</t>
  </si>
  <si>
    <t>3401-1-18398</t>
  </si>
  <si>
    <t>Свирская (Крисенок) Анастасия Михайловна</t>
  </si>
  <si>
    <t>5200-2-17329</t>
  </si>
  <si>
    <t>Свистунов Владимир Александрович</t>
  </si>
  <si>
    <t>3218-2-17337</t>
  </si>
  <si>
    <t>Семак Инна Арсеньевна</t>
  </si>
  <si>
    <t xml:space="preserve">Сороко Татьяна Николаевна </t>
  </si>
  <si>
    <t>Главный специалист Управления сопровождения казначейских операций Казначейства</t>
  </si>
  <si>
    <t>5200-1-17198</t>
  </si>
  <si>
    <t>Старовойтов Сергей Михайлович</t>
  </si>
  <si>
    <t>Начальник отдела координации корпоративного бизнеса</t>
  </si>
  <si>
    <t>7230-1-19668</t>
  </si>
  <si>
    <t>Сташенко Сергей Владимирович</t>
  </si>
  <si>
    <t>1410-1-19621</t>
  </si>
  <si>
    <t>Стефанович Ирина Иосифовна</t>
  </si>
  <si>
    <t>Судникович Светлана Викторовна</t>
  </si>
  <si>
    <t>5200-1-19188</t>
  </si>
  <si>
    <t>Суходолов Александр Александрович</t>
  </si>
  <si>
    <t>2424-1-17249</t>
  </si>
  <si>
    <t>Главный специалист отдела валютных операций и валютного контроля по Витебской области Управления методологии регулирования и контроля валютных операций Департамента валютного регулирования и контроля</t>
  </si>
  <si>
    <t>Счастная Ирина Игнатьевна</t>
  </si>
  <si>
    <t>Главный специалист  сектора корпоративного бизнеса</t>
  </si>
  <si>
    <t>2221-2-18279</t>
  </si>
  <si>
    <t>Сычевская Алла Владимировна</t>
  </si>
  <si>
    <t>Начальник Региональной дирекции по г. Минску</t>
  </si>
  <si>
    <t>6200-1-18812</t>
  </si>
  <si>
    <t>Танцюро Владимир Александрович</t>
  </si>
  <si>
    <t>7220-2-18798</t>
  </si>
  <si>
    <t>Татарчик Татьяна Викторовна</t>
  </si>
  <si>
    <t>4223-2-19068</t>
  </si>
  <si>
    <t>Терентьев Владимир Анатольевич</t>
  </si>
  <si>
    <t>5200-1-19649</t>
  </si>
  <si>
    <t>Тимонина (Швец) Жанна Валентиновна</t>
  </si>
  <si>
    <t>5200-1-17854</t>
  </si>
  <si>
    <t>Тиунчик Марина Леонтьевна</t>
  </si>
  <si>
    <t>6430-2-18753</t>
  </si>
  <si>
    <t>Трапезникова Татьяна Гарриевна</t>
  </si>
  <si>
    <t>2435-2-18491</t>
  </si>
  <si>
    <t>Туренкова Елена Ивановна</t>
  </si>
  <si>
    <t>2401-2-18189</t>
  </si>
  <si>
    <t>Устинович Ирина Викторовна</t>
  </si>
  <si>
    <t>2246-2-19331</t>
  </si>
  <si>
    <t>Устинчик Игорь Анатольевич</t>
  </si>
  <si>
    <t>5200-1-19333</t>
  </si>
  <si>
    <t>Фёдорова (Дешкевич) Ксения Сергеевна</t>
  </si>
  <si>
    <t>5200-1-17497</t>
  </si>
  <si>
    <t>Харитончик Марина Федоровна</t>
  </si>
  <si>
    <t>4254-2-19191</t>
  </si>
  <si>
    <t>Хватик Виталий Николаевич</t>
  </si>
  <si>
    <t>3401-1-18893</t>
  </si>
  <si>
    <t>Хромченко Татьяна Васильевна</t>
  </si>
  <si>
    <t>Ведущий специалист сектора сопровождения работы корпоративного бизнеса</t>
  </si>
  <si>
    <t>7220-2-19817</t>
  </si>
  <si>
    <t>Цумарова Елена Францевна</t>
  </si>
  <si>
    <t>Специалист отдела расчетов г. Гродно</t>
  </si>
  <si>
    <t>4413-1-17550</t>
  </si>
  <si>
    <t>Черник Светлана Васильевна</t>
  </si>
  <si>
    <t>2215-1-17922</t>
  </si>
  <si>
    <t>Чернущик Светлана Владиславовна</t>
  </si>
  <si>
    <t>Заместитель начальника  отдела розничных продаж</t>
  </si>
  <si>
    <t>4401-2-19069</t>
  </si>
  <si>
    <t>Чернышев Александр Владимирович</t>
  </si>
  <si>
    <t>7258-1-18487</t>
  </si>
  <si>
    <t>Чертко Виталий Васильевич</t>
  </si>
  <si>
    <t>4233-2-19127</t>
  </si>
  <si>
    <t>Чиж Елена Леонидовна</t>
  </si>
  <si>
    <t>Менеджер Управления продаж Департамента корпоративного бизнеса</t>
  </si>
  <si>
    <t>7235-1-19338</t>
  </si>
  <si>
    <t>Чуракова Татьяна Андреевна</t>
  </si>
  <si>
    <t>1258-1-17473</t>
  </si>
  <si>
    <t>Швиц Наталья Викентьевна</t>
  </si>
  <si>
    <t>6222-2-18675</t>
  </si>
  <si>
    <t>Шевцова Наталья Петровна</t>
  </si>
  <si>
    <t>Заместитель Председателя Правления</t>
  </si>
  <si>
    <t>5200-1-17575</t>
  </si>
  <si>
    <t>Шеляхин Андрей Владимирович</t>
  </si>
  <si>
    <t>7254-2-19746</t>
  </si>
  <si>
    <t>Шимук Людмила Ивановна</t>
  </si>
  <si>
    <t>Шпилевский Анатолий Антонович</t>
  </si>
  <si>
    <t xml:space="preserve"> Начальник Региональной дирекции по Минской области</t>
  </si>
  <si>
    <t>5200-1-19932</t>
  </si>
  <si>
    <t>Шугальская Елена Владимировна</t>
  </si>
  <si>
    <t>Шунько Ольга Евгеньевна</t>
  </si>
  <si>
    <t>Начальник сектора по работе корпоративного бизнеса</t>
  </si>
  <si>
    <t>4256-2-19192</t>
  </si>
  <si>
    <t>Щука Виктор Иванович</t>
  </si>
  <si>
    <t>Начальник Региональной дирекции по Гродненской области</t>
  </si>
  <si>
    <t>4401-1-18367</t>
  </si>
  <si>
    <t>Юрченко Анастасия Петровна</t>
  </si>
  <si>
    <t>6213-1-19035</t>
  </si>
  <si>
    <t>Ядченко Наталья Анатольевна</t>
  </si>
  <si>
    <t>Начальник сектора по работе с корпоративным бизнесом</t>
  </si>
  <si>
    <t>3218-2-18116</t>
  </si>
  <si>
    <t>Яловчик Людмила Викторовна</t>
  </si>
  <si>
    <t>4254-2-19519</t>
  </si>
  <si>
    <t>Ясюченя Ольга Владимировна</t>
  </si>
  <si>
    <t>6256-1-18082</t>
  </si>
  <si>
    <t>Министерство финансов Республики Беларусь</t>
  </si>
  <si>
    <t>Национальный банк Республики Беларусь</t>
  </si>
  <si>
    <t>Брестский областной исполнительный комитет</t>
  </si>
  <si>
    <t>Витебский областной исполнительный комитет</t>
  </si>
  <si>
    <t>Докшицкий райионный исполнительный комитет</t>
  </si>
  <si>
    <t>Лиозненский районный исполнительный комитет</t>
  </si>
  <si>
    <t>Миорский райионный исполнительный комитет</t>
  </si>
  <si>
    <t>Поставский районный исполнительный комитет</t>
  </si>
  <si>
    <t>Россонский районный исполнительный комитет</t>
  </si>
  <si>
    <t>Бешенковичский районный исполнительный комитет</t>
  </si>
  <si>
    <t>Толочинский районный исполнительный комитет</t>
  </si>
  <si>
    <t>Лепельский районный исполнительный комитет</t>
  </si>
  <si>
    <t>Верхнедвинский районный исполнительный комитет</t>
  </si>
  <si>
    <t>Чашникский районный исполнительный комитет</t>
  </si>
  <si>
    <t>Глубокский районный исполнительный комитет</t>
  </si>
  <si>
    <t>Полоцкий районный исполнительный комитет</t>
  </si>
  <si>
    <t>Витебский районный исполнительный комитет</t>
  </si>
  <si>
    <t>Оршанский районный исполнительный комитет</t>
  </si>
  <si>
    <t>Гомельский областной исполнительный комитет</t>
  </si>
  <si>
    <t>Минский областной исполнительный комитет</t>
  </si>
  <si>
    <t>Могилевский областной исполнительный комитет</t>
  </si>
  <si>
    <t>Бобруйский городской исполнительный комитет</t>
  </si>
  <si>
    <t>Кировский районный исполнительный комитет</t>
  </si>
  <si>
    <t>Гродненский областной исполнительный комитет</t>
  </si>
  <si>
    <t>Лидский районный исполнительный комитет</t>
  </si>
  <si>
    <t>ОАО "Банк развития Республики Беларусь"</t>
  </si>
  <si>
    <t>ОАО "Белорусский металлургический завод" - управляющая компания холдинга "Белорусская металлургическая компания"</t>
  </si>
  <si>
    <t>ОАО "Стеклозавод "Неман"</t>
  </si>
  <si>
    <t>ООО "Санта Ритейл"</t>
  </si>
  <si>
    <t>ОАО "Агролизинг"</t>
  </si>
  <si>
    <t>ОАО "АСБ Беларусбанк"</t>
  </si>
  <si>
    <t>ЗАО "Банковско-финансовая телесеть"</t>
  </si>
  <si>
    <t>ОАО "Белорусская валютно-фондовая биржа"</t>
  </si>
  <si>
    <t>ОАО "Жлобинский мясокомбинат"</t>
  </si>
  <si>
    <t>ОАО "Банковский процессинговый центр"</t>
  </si>
  <si>
    <t>ОАО "Центр банковских технологий"</t>
  </si>
  <si>
    <t>Swift</t>
  </si>
  <si>
    <t>ОАО "Туровщина"</t>
  </si>
  <si>
    <t>ОАО "Промагролизинг"</t>
  </si>
  <si>
    <t>ЗАО "Платежная система БЕЛКАРТ"</t>
  </si>
  <si>
    <t>ОАО "Небанковская кредитно-финансовая организация "ЕРИП"</t>
  </si>
  <si>
    <t>ОАО "Озерицкий-Агро"</t>
  </si>
  <si>
    <t>ОАО "Небанковская кредитно-финансовая организация "Белинкасгрупп"</t>
  </si>
  <si>
    <t>в том числе с ценными бумагами, эмитированными (выданными):</t>
  </si>
  <si>
    <t xml:space="preserve">Сделки с ценными бумагами по составляющим работам и услугам профессиональной и биржевой деятельности по ценным бумагам          </t>
  </si>
  <si>
    <t>Ценные бумаги приобретены в процессе доверительного управления денежными средствами</t>
  </si>
  <si>
    <t xml:space="preserve">Comcast Corporation - Class A </t>
  </si>
  <si>
    <t xml:space="preserve">Chevron Corporation </t>
  </si>
  <si>
    <t>Alibaba Group Holding LTD (американские депозитарные расписки)</t>
  </si>
  <si>
    <t>Облигации первого выпуска ОАО "Стеклозавод "Неман" в  сумме 2605,0 тыс.бел.рублей учитываются на внебалансовых счетах</t>
  </si>
  <si>
    <t>5200-1-19871</t>
  </si>
  <si>
    <t>Акштулевич Наталья Владимировна</t>
  </si>
  <si>
    <t>4213-2-19940</t>
  </si>
  <si>
    <t>1254-1-20049</t>
  </si>
  <si>
    <t>Коваленя Анна Владимировна</t>
  </si>
  <si>
    <t>Главный специалист Управления по взысканию проблемной задолженности корпоративных клиентов</t>
  </si>
  <si>
    <t>5200-1-20050</t>
  </si>
  <si>
    <t>Король Вероника Александровна</t>
  </si>
  <si>
    <t>1445-2-20059</t>
  </si>
  <si>
    <t>Лукащук Елена Олеговна</t>
  </si>
  <si>
    <t>5200-1-20055</t>
  </si>
  <si>
    <t>5200-1-19743</t>
  </si>
  <si>
    <t>6246-2-19905</t>
  </si>
  <si>
    <t>4213-1-19979</t>
  </si>
  <si>
    <t>Ведущий специалист  депозитария ценных бумаг Управления ценных бумаг</t>
  </si>
  <si>
    <t>Главный специалист отдела методологии и расчетов Управления общего сопровождения банковских операций</t>
  </si>
  <si>
    <t>4256-2-20032</t>
  </si>
  <si>
    <t>Александрова Алина Сергеевна</t>
  </si>
  <si>
    <t>Экономист депозитария ценных бумаг Управления ценных бумаг</t>
  </si>
  <si>
    <t>5200-1-20085</t>
  </si>
  <si>
    <t>5200-1-19881</t>
  </si>
  <si>
    <t>Менеджер Управления по обслуживанию корпоративных клиентов центрального клиент-офиса</t>
  </si>
  <si>
    <t>Главный экономист Управления стратегического развития</t>
  </si>
  <si>
    <t>Директор центрального клиент-офиса</t>
  </si>
  <si>
    <t>Менеджер отдела инвестиций и корпоративного финансирования Управления ценных бумаг</t>
  </si>
  <si>
    <t>ООО "ЗападТрансЭкспедиция"</t>
  </si>
  <si>
    <t>ОАО "Слонимский мясокомбинат"</t>
  </si>
  <si>
    <t>М.А.Шаповалова</t>
  </si>
  <si>
    <t>Главный экономист Управления ценных бумаг, Головко И.Г., тел. 229 64 18</t>
  </si>
  <si>
    <t>Начальник Управления продаж</t>
  </si>
  <si>
    <t>Заместитель начальника  отдела корпоративного риск-менеджмента по Минской области Департамента кредитного криска</t>
  </si>
  <si>
    <t>Начальник Управления по обслуживанию корпоративных клиентов центрального клиент-офиса</t>
  </si>
  <si>
    <r>
      <t>В четвертом квартале к сделкам продажи отнесены сделки: с депозитными сертификатами банка в количестве 83 штук на общую сумму 8792,89 тыс. бел. руб., с именными облигациями банка в количестве 227 штук на общую сумму 628 100,85 тыс. бел. руб.</t>
    </r>
    <r>
      <rPr>
        <sz val="10"/>
        <rFont val="Times New Roman"/>
        <family val="1"/>
        <charset val="204"/>
      </rPr>
      <t>Сделки с ценными бумагами на предъявителя и сберегательными сертификатами отражены по аналогии со сделками, указанными в строке 30, т.е. графы 4, 7 по ним не заполнялись.</t>
    </r>
  </si>
  <si>
    <t>Волковысское ОАО "Беллакт"</t>
  </si>
  <si>
    <t>в т.ч. еврооблигации  на общую сумму 44 270,26 тыс.бел.руб.</t>
  </si>
  <si>
    <t>ОАО "Белмедстекло"</t>
  </si>
  <si>
    <t>ОАО "Рассвет им. К.П.Орловского"</t>
  </si>
  <si>
    <t>Министерство финансов Российской Федерации</t>
  </si>
  <si>
    <t>К сделкам отнесено 9 дополнительных соглашений, 5 - об изменении договоров, 4 - о расторжении договоров</t>
  </si>
  <si>
    <t>К сделкам отнесено 4 дополнительных соглашения о расторжении договоров</t>
  </si>
  <si>
    <t>2215-1-20334</t>
  </si>
  <si>
    <t>3417-1-20226</t>
  </si>
  <si>
    <t>1247-2-20276</t>
  </si>
  <si>
    <t>5200-1-20228</t>
  </si>
  <si>
    <t>Ковалевская Вероника Валерьевна</t>
  </si>
  <si>
    <t>Специалист 1-й категории депозитария ценных бумаг Управления ценных бумаг</t>
  </si>
  <si>
    <t>5200-1-20218</t>
  </si>
  <si>
    <t>1240-2-20277</t>
  </si>
  <si>
    <t>5200-3-20140</t>
  </si>
  <si>
    <t>Осипчик Ирина Петровна</t>
  </si>
  <si>
    <t>5200-1-20220</t>
  </si>
  <si>
    <t>Ведущий специалист Управления залоговой экспертизы и мониторинга обеспечения по Гомельской области</t>
  </si>
  <si>
    <t>6242-2-20279</t>
  </si>
  <si>
    <t>2221-2-20130</t>
  </si>
  <si>
    <t>Сделки с еврооблигациями в рамках дилерской деятельности банка</t>
  </si>
  <si>
    <t>Exxon Mobil Corporation</t>
  </si>
  <si>
    <t>Occidental Petroleum Corporation</t>
  </si>
  <si>
    <t>С.П. Чугай</t>
  </si>
  <si>
    <t>В четвертом квартале к сделкам покупки отнесены сделки: погашения депозитных сертификатов в количестве 73 штук на общую сумму 8 308,57 тыс. бел. руб., по выкупу именных облигаций банка в количестве 200 штук на общую сумму 572 021,9 тыс. бел. руб., погашения именных облигаций банка в количестве 64 штук на общую сумму 87 249 тыс. бел.руб., погашения (досрочного погашения) облигаций на предъявителя для физических лиц на общую сумму 1 421,46 тыс. бел. руб. Сделки с ценными бумагами на предъявителя и сберегательными сертификатами отражены по аналогии со сделками, указанными в строке 30, т.е. графы 4, 7 по ним не заполнялись.</t>
  </si>
  <si>
    <t>За четвертый квартал:
 сумма денежных средств, затраченная на приобретение облигаций именных облигаций банка составила 392 926,68 тыс. бел.руб, облигаций на предъявителя для физических лиц - 312,63 тыс. бел.руб. Графа 3 по облигациям на предъявителя для физических лиц не заполнялась.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</si>
</sst>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_р_."/>
    <numFmt numFmtId="166" formatCode="#,##0.00\ _₽"/>
    <numFmt numFmtId="167" formatCode="0.00000000"/>
  </numFmts>
  <fonts count="19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1">
      <alignment horizontal="center"/>
    </xf>
    <xf numFmtId="0" fontId="1" fillId="0" borderId="0"/>
    <xf numFmtId="0" fontId="1" fillId="0" borderId="0"/>
  </cellStyleXfs>
  <cellXfs count="19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5" fillId="0" borderId="0" xfId="0" applyFont="1"/>
    <xf numFmtId="0" fontId="4" fillId="0" borderId="4" xfId="0" applyFont="1" applyBorder="1"/>
    <xf numFmtId="0" fontId="5" fillId="0" borderId="4" xfId="0" applyFont="1" applyBorder="1"/>
    <xf numFmtId="0" fontId="0" fillId="0" borderId="0" xfId="0" applyFont="1"/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5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justify" wrapText="1"/>
    </xf>
    <xf numFmtId="0" fontId="1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165" fontId="5" fillId="3" borderId="1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3" borderId="12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14" fontId="5" fillId="3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167" fontId="5" fillId="3" borderId="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14" fontId="5" fillId="3" borderId="1" xfId="3" applyNumberFormat="1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5" fillId="3" borderId="12" xfId="2" applyNumberFormat="1" applyFont="1" applyFill="1" applyBorder="1" applyAlignment="1" applyProtection="1">
      <alignment horizontal="center" vertical="center"/>
    </xf>
    <xf numFmtId="14" fontId="5" fillId="3" borderId="1" xfId="2" applyNumberFormat="1" applyFont="1" applyFill="1" applyBorder="1" applyAlignment="1" applyProtection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14" fontId="5" fillId="3" borderId="5" xfId="2" applyNumberFormat="1" applyFont="1" applyFill="1" applyBorder="1" applyAlignment="1">
      <alignment horizontal="center" vertical="center"/>
    </xf>
    <xf numFmtId="14" fontId="5" fillId="3" borderId="1" xfId="4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2" xfId="2" applyNumberFormat="1" applyFont="1" applyFill="1" applyBorder="1" applyAlignment="1" applyProtection="1">
      <alignment horizontal="center" vertical="center" wrapText="1"/>
    </xf>
    <xf numFmtId="0" fontId="5" fillId="3" borderId="12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/>
    </xf>
    <xf numFmtId="2" fontId="5" fillId="3" borderId="12" xfId="2" applyNumberFormat="1" applyFont="1" applyFill="1" applyBorder="1" applyAlignment="1" applyProtection="1">
      <alignment horizontal="center" vertical="center"/>
    </xf>
    <xf numFmtId="2" fontId="5" fillId="3" borderId="12" xfId="2" applyNumberFormat="1" applyFont="1" applyFill="1" applyBorder="1" applyAlignment="1" applyProtection="1">
      <alignment horizontal="center" vertical="center" wrapText="1"/>
    </xf>
    <xf numFmtId="2" fontId="5" fillId="3" borderId="1" xfId="2" applyNumberFormat="1" applyFont="1" applyFill="1" applyBorder="1" applyAlignment="1" applyProtection="1">
      <alignment horizontal="center" vertical="center"/>
    </xf>
    <xf numFmtId="14" fontId="5" fillId="3" borderId="12" xfId="0" applyNumberFormat="1" applyFont="1" applyFill="1" applyBorder="1" applyAlignment="1">
      <alignment horizontal="center" vertical="center"/>
    </xf>
    <xf numFmtId="14" fontId="5" fillId="3" borderId="12" xfId="0" applyNumberFormat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14" fontId="5" fillId="3" borderId="1" xfId="6" applyNumberFormat="1" applyFont="1" applyFill="1" applyBorder="1" applyAlignment="1">
      <alignment horizontal="center" vertical="center"/>
    </xf>
    <xf numFmtId="0" fontId="5" fillId="3" borderId="2" xfId="7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0" fontId="5" fillId="5" borderId="0" xfId="0" applyFont="1" applyFill="1"/>
    <xf numFmtId="49" fontId="5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4" fontId="5" fillId="0" borderId="0" xfId="0" applyNumberFormat="1" applyFont="1"/>
    <xf numFmtId="4" fontId="12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18" fillId="0" borderId="0" xfId="0" applyFont="1"/>
    <xf numFmtId="165" fontId="5" fillId="4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0" xfId="0" applyFont="1" applyFill="1"/>
    <xf numFmtId="0" fontId="5" fillId="0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wrapText="1" shrinkToFit="1"/>
    </xf>
    <xf numFmtId="11" fontId="11" fillId="2" borderId="12" xfId="0" applyNumberFormat="1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15" fillId="2" borderId="12" xfId="1" applyNumberForma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8">
    <cellStyle name="Гиперссылка" xfId="1" builtinId="8"/>
    <cellStyle name="Обычный" xfId="0" builtinId="0"/>
    <cellStyle name="Обычный 2 2" xfId="2"/>
    <cellStyle name="Обычный 3" xfId="3"/>
    <cellStyle name="Обычный 3 3" xfId="6"/>
    <cellStyle name="Обычный 3 4" xfId="4"/>
    <cellStyle name="Обычный_Форма 2" xfId="7"/>
    <cellStyle name="Табличны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elapb.b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4"/>
  <sheetViews>
    <sheetView tabSelected="1"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27.42578125" style="7" customWidth="1"/>
    <col min="2" max="2" width="8" style="7" customWidth="1"/>
    <col min="3" max="3" width="9.28515625" style="7" customWidth="1"/>
    <col min="4" max="4" width="11.28515625" style="7" customWidth="1"/>
    <col min="5" max="5" width="13.85546875" style="7" customWidth="1"/>
    <col min="6" max="6" width="14.7109375" style="7" customWidth="1"/>
    <col min="7" max="7" width="9.140625" style="7"/>
    <col min="8" max="8" width="14.140625" style="7" customWidth="1"/>
    <col min="9" max="9" width="14" style="7" customWidth="1"/>
    <col min="10" max="10" width="34.7109375" style="7" customWidth="1"/>
    <col min="11" max="16384" width="9.140625" style="7"/>
  </cols>
  <sheetData>
    <row r="1" spans="1:10" ht="4.5" customHeight="1" x14ac:dyDescent="0.2">
      <c r="A1" s="12"/>
      <c r="B1" s="12"/>
      <c r="C1" s="12"/>
      <c r="D1" s="12"/>
      <c r="E1" s="12"/>
      <c r="F1" s="12"/>
      <c r="H1" s="12"/>
    </row>
    <row r="2" spans="1:10" ht="0.75" customHeight="1" x14ac:dyDescent="0.2">
      <c r="A2" s="12"/>
      <c r="B2" s="12"/>
      <c r="C2" s="12"/>
      <c r="D2" s="12"/>
      <c r="E2" s="12"/>
      <c r="F2" s="12"/>
      <c r="G2" s="142" t="s">
        <v>227</v>
      </c>
      <c r="H2" s="142"/>
      <c r="I2" s="142"/>
      <c r="J2" s="124"/>
    </row>
    <row r="3" spans="1:10" ht="0.75" hidden="1" customHeight="1" x14ac:dyDescent="0.2">
      <c r="A3" s="12"/>
      <c r="B3" s="12"/>
      <c r="C3" s="12"/>
      <c r="D3" s="12"/>
      <c r="E3" s="12"/>
      <c r="F3" s="12"/>
      <c r="G3" s="142"/>
      <c r="H3" s="142"/>
      <c r="I3" s="142"/>
      <c r="J3" s="124"/>
    </row>
    <row r="4" spans="1:10" ht="34.5" customHeight="1" x14ac:dyDescent="0.2">
      <c r="A4" s="12"/>
      <c r="B4" s="12"/>
      <c r="C4" s="12"/>
      <c r="D4" s="12"/>
      <c r="E4" s="12"/>
      <c r="F4" s="12"/>
      <c r="G4" s="142"/>
      <c r="H4" s="142"/>
      <c r="I4" s="142"/>
      <c r="J4" s="124"/>
    </row>
    <row r="5" spans="1:10" ht="15.75" customHeight="1" x14ac:dyDescent="0.2">
      <c r="A5" s="12"/>
      <c r="B5" s="12"/>
      <c r="C5" s="12"/>
      <c r="D5" s="12"/>
      <c r="E5" s="12"/>
      <c r="F5" s="12"/>
      <c r="G5" s="142"/>
      <c r="H5" s="142"/>
      <c r="I5" s="142"/>
      <c r="J5" s="124"/>
    </row>
    <row r="6" spans="1:10" ht="3" customHeight="1" x14ac:dyDescent="0.25">
      <c r="A6" s="12"/>
      <c r="B6" s="12"/>
      <c r="C6" s="12"/>
      <c r="D6" s="12"/>
      <c r="E6" s="12"/>
      <c r="F6" s="12"/>
      <c r="G6" s="12"/>
      <c r="H6" s="12"/>
      <c r="I6" s="4"/>
      <c r="J6" s="4"/>
    </row>
    <row r="7" spans="1:10" ht="18" customHeight="1" x14ac:dyDescent="0.3">
      <c r="A7" s="12"/>
      <c r="B7" s="12"/>
      <c r="C7" s="12"/>
      <c r="D7" s="12"/>
      <c r="E7" s="12"/>
      <c r="F7" s="12"/>
      <c r="G7" s="13" t="s">
        <v>201</v>
      </c>
      <c r="H7" s="12"/>
      <c r="I7" s="4"/>
      <c r="J7" s="4"/>
    </row>
    <row r="8" spans="1:10" ht="4.5" customHeight="1" x14ac:dyDescent="0.25">
      <c r="A8" s="12"/>
      <c r="B8" s="12"/>
      <c r="C8" s="12"/>
      <c r="D8" s="12"/>
      <c r="E8" s="12"/>
      <c r="F8" s="12"/>
      <c r="G8" s="12"/>
      <c r="H8" s="12"/>
      <c r="I8" s="4"/>
      <c r="J8" s="4"/>
    </row>
    <row r="9" spans="1:10" ht="15.75" customHeight="1" x14ac:dyDescent="0.25">
      <c r="A9" s="6" t="s">
        <v>75</v>
      </c>
      <c r="D9" s="72">
        <v>100693551</v>
      </c>
      <c r="E9" s="12"/>
      <c r="F9" s="12"/>
      <c r="G9" s="150" t="s">
        <v>226</v>
      </c>
      <c r="H9" s="150"/>
      <c r="I9" s="150"/>
      <c r="J9" s="125"/>
    </row>
    <row r="10" spans="1:10" x14ac:dyDescent="0.2">
      <c r="A10" s="12"/>
      <c r="B10" s="12"/>
      <c r="C10" s="12"/>
      <c r="D10" s="12"/>
      <c r="E10" s="12"/>
      <c r="F10" s="12"/>
      <c r="G10" s="150"/>
      <c r="H10" s="150"/>
      <c r="I10" s="150"/>
      <c r="J10" s="125"/>
    </row>
    <row r="11" spans="1:10" ht="9.75" customHeight="1" x14ac:dyDescent="0.2">
      <c r="C11" s="12"/>
      <c r="E11" s="12"/>
      <c r="F11" s="12"/>
      <c r="G11" s="150"/>
      <c r="H11" s="150"/>
      <c r="I11" s="150"/>
      <c r="J11" s="125"/>
    </row>
    <row r="12" spans="1:10" ht="15" x14ac:dyDescent="0.25">
      <c r="A12" s="6" t="s">
        <v>76</v>
      </c>
      <c r="B12" s="12"/>
      <c r="C12" s="12"/>
      <c r="E12" s="12"/>
      <c r="F12" s="12"/>
      <c r="G12" s="150"/>
      <c r="H12" s="150"/>
      <c r="I12" s="150"/>
      <c r="J12" s="125"/>
    </row>
    <row r="13" spans="1:10" ht="18" customHeight="1" x14ac:dyDescent="0.2">
      <c r="A13" s="144" t="s">
        <v>243</v>
      </c>
      <c r="B13" s="145"/>
      <c r="C13" s="145"/>
      <c r="D13" s="145"/>
      <c r="E13" s="146"/>
      <c r="F13" s="12"/>
      <c r="G13" s="150"/>
      <c r="H13" s="150"/>
      <c r="I13" s="150"/>
      <c r="J13" s="125"/>
    </row>
    <row r="14" spans="1:10" ht="28.5" customHeight="1" x14ac:dyDescent="0.25">
      <c r="A14" s="143" t="s">
        <v>222</v>
      </c>
      <c r="B14" s="143"/>
      <c r="C14" s="143"/>
      <c r="D14" s="143"/>
      <c r="E14" s="143"/>
      <c r="F14" s="12"/>
      <c r="G14" s="150"/>
      <c r="H14" s="150"/>
      <c r="I14" s="150"/>
      <c r="J14" s="125"/>
    </row>
    <row r="15" spans="1:10" ht="69" customHeight="1" x14ac:dyDescent="0.2">
      <c r="A15" s="147" t="s">
        <v>244</v>
      </c>
      <c r="B15" s="148"/>
      <c r="C15" s="148"/>
      <c r="D15" s="148"/>
      <c r="E15" s="149"/>
      <c r="F15" s="12"/>
      <c r="H15" s="14"/>
      <c r="I15" s="14"/>
      <c r="J15" s="14"/>
    </row>
    <row r="16" spans="1:10" ht="18" customHeight="1" x14ac:dyDescent="0.2">
      <c r="A16" s="7" t="s">
        <v>241</v>
      </c>
      <c r="C16" s="151" t="s">
        <v>245</v>
      </c>
      <c r="D16" s="152"/>
      <c r="E16" s="153"/>
    </row>
    <row r="17" spans="1:17" ht="20.25" customHeight="1" x14ac:dyDescent="0.2">
      <c r="A17" s="178" t="s">
        <v>67</v>
      </c>
      <c r="B17" s="178"/>
      <c r="C17" s="178"/>
      <c r="D17" s="178"/>
      <c r="E17" s="178"/>
      <c r="F17" s="178"/>
      <c r="G17" s="178"/>
      <c r="H17" s="178"/>
      <c r="I17" s="178"/>
      <c r="J17" s="122"/>
    </row>
    <row r="18" spans="1:17" ht="19.5" customHeight="1" x14ac:dyDescent="0.2">
      <c r="A18" s="178" t="s">
        <v>77</v>
      </c>
      <c r="B18" s="178"/>
      <c r="C18" s="178"/>
      <c r="D18" s="178"/>
      <c r="E18" s="178"/>
      <c r="F18" s="178"/>
      <c r="G18" s="178"/>
      <c r="H18" s="178"/>
      <c r="I18" s="178"/>
      <c r="J18" s="122"/>
    </row>
    <row r="19" spans="1:17" ht="18" customHeight="1" x14ac:dyDescent="0.2">
      <c r="B19" s="178" t="s">
        <v>104</v>
      </c>
      <c r="C19" s="178"/>
      <c r="D19" s="179"/>
      <c r="E19" s="186">
        <v>43831</v>
      </c>
      <c r="F19" s="187"/>
      <c r="G19" s="188"/>
    </row>
    <row r="21" spans="1:17" ht="12.75" customHeight="1" x14ac:dyDescent="0.2">
      <c r="A21" s="180" t="s">
        <v>43</v>
      </c>
      <c r="B21" s="180"/>
      <c r="C21" s="180"/>
      <c r="D21" s="180"/>
      <c r="E21" s="180"/>
      <c r="F21" s="180"/>
      <c r="G21" s="180"/>
      <c r="H21" s="180"/>
      <c r="I21" s="180"/>
      <c r="J21" s="123"/>
    </row>
    <row r="22" spans="1:17" ht="15.75" x14ac:dyDescent="0.2">
      <c r="A22" s="180" t="s">
        <v>44</v>
      </c>
      <c r="B22" s="180"/>
      <c r="C22" s="180"/>
      <c r="D22" s="180"/>
      <c r="E22" s="180"/>
      <c r="F22" s="180"/>
      <c r="G22" s="180"/>
      <c r="H22" s="180"/>
      <c r="I22" s="180"/>
      <c r="J22" s="123"/>
    </row>
    <row r="24" spans="1:17" ht="12.75" customHeight="1" x14ac:dyDescent="0.2">
      <c r="A24" s="154" t="s">
        <v>0</v>
      </c>
      <c r="B24" s="166" t="s">
        <v>41</v>
      </c>
      <c r="C24" s="166" t="s">
        <v>93</v>
      </c>
      <c r="D24" s="154" t="s">
        <v>94</v>
      </c>
      <c r="E24" s="155"/>
      <c r="F24" s="156"/>
      <c r="G24" s="160" t="s">
        <v>1</v>
      </c>
      <c r="H24" s="161"/>
      <c r="I24" s="162"/>
      <c r="J24" s="166"/>
      <c r="K24" s="181"/>
      <c r="L24" s="182"/>
      <c r="M24" s="182"/>
      <c r="N24" s="182"/>
      <c r="O24" s="182"/>
      <c r="P24" s="182"/>
      <c r="Q24" s="182"/>
    </row>
    <row r="25" spans="1:17" x14ac:dyDescent="0.2">
      <c r="A25" s="189"/>
      <c r="B25" s="167"/>
      <c r="C25" s="167"/>
      <c r="D25" s="157"/>
      <c r="E25" s="158"/>
      <c r="F25" s="159"/>
      <c r="G25" s="163"/>
      <c r="H25" s="164"/>
      <c r="I25" s="165"/>
      <c r="J25" s="185"/>
      <c r="K25" s="183"/>
      <c r="L25" s="182"/>
      <c r="M25" s="182"/>
      <c r="N25" s="182"/>
      <c r="O25" s="182"/>
      <c r="P25" s="182"/>
      <c r="Q25" s="182"/>
    </row>
    <row r="26" spans="1:17" ht="12.75" customHeight="1" x14ac:dyDescent="0.2">
      <c r="A26" s="189"/>
      <c r="B26" s="167"/>
      <c r="C26" s="167"/>
      <c r="D26" s="169" t="s">
        <v>3</v>
      </c>
      <c r="E26" s="170"/>
      <c r="F26" s="166" t="s">
        <v>195</v>
      </c>
      <c r="G26" s="171" t="s">
        <v>3</v>
      </c>
      <c r="H26" s="172"/>
      <c r="I26" s="173" t="s">
        <v>195</v>
      </c>
      <c r="J26" s="184" t="s">
        <v>2</v>
      </c>
      <c r="K26" s="183"/>
      <c r="L26" s="182"/>
      <c r="M26" s="182"/>
      <c r="N26" s="182"/>
      <c r="O26" s="182"/>
      <c r="P26" s="182"/>
      <c r="Q26" s="182"/>
    </row>
    <row r="27" spans="1:17" x14ac:dyDescent="0.2">
      <c r="A27" s="189"/>
      <c r="B27" s="167"/>
      <c r="C27" s="167"/>
      <c r="D27" s="166" t="s">
        <v>95</v>
      </c>
      <c r="E27" s="166" t="s">
        <v>96</v>
      </c>
      <c r="F27" s="167"/>
      <c r="G27" s="173" t="s">
        <v>95</v>
      </c>
      <c r="H27" s="173" t="s">
        <v>96</v>
      </c>
      <c r="I27" s="176"/>
      <c r="J27" s="184"/>
    </row>
    <row r="28" spans="1:17" ht="24.75" customHeight="1" x14ac:dyDescent="0.2">
      <c r="A28" s="189"/>
      <c r="B28" s="167"/>
      <c r="C28" s="167"/>
      <c r="D28" s="167"/>
      <c r="E28" s="167"/>
      <c r="F28" s="167"/>
      <c r="G28" s="174"/>
      <c r="H28" s="176"/>
      <c r="I28" s="176"/>
      <c r="J28" s="184"/>
    </row>
    <row r="29" spans="1:17" x14ac:dyDescent="0.2">
      <c r="A29" s="157"/>
      <c r="B29" s="168"/>
      <c r="C29" s="168"/>
      <c r="D29" s="168"/>
      <c r="E29" s="168"/>
      <c r="F29" s="168"/>
      <c r="G29" s="175"/>
      <c r="H29" s="177"/>
      <c r="I29" s="177"/>
      <c r="J29" s="185"/>
    </row>
    <row r="30" spans="1:17" x14ac:dyDescent="0.2">
      <c r="A30" s="17">
        <v>1</v>
      </c>
      <c r="B30" s="17">
        <v>2</v>
      </c>
      <c r="C30" s="17">
        <v>3</v>
      </c>
      <c r="D30" s="17">
        <v>4</v>
      </c>
      <c r="E30" s="17">
        <v>5</v>
      </c>
      <c r="F30" s="17">
        <v>6</v>
      </c>
      <c r="G30" s="44">
        <v>7</v>
      </c>
      <c r="H30" s="44">
        <v>8</v>
      </c>
      <c r="I30" s="44">
        <v>9</v>
      </c>
      <c r="J30" s="120">
        <v>10</v>
      </c>
    </row>
    <row r="31" spans="1:17" ht="82.5" customHeight="1" x14ac:dyDescent="0.2">
      <c r="A31" s="18" t="s">
        <v>230</v>
      </c>
      <c r="B31" s="19" t="s">
        <v>23</v>
      </c>
      <c r="C31" s="19"/>
      <c r="D31" s="23">
        <f t="shared" ref="D31:I31" si="0">D32+D33-D34</f>
        <v>1</v>
      </c>
      <c r="E31" s="23">
        <f t="shared" si="0"/>
        <v>1000</v>
      </c>
      <c r="F31" s="51">
        <f t="shared" si="0"/>
        <v>2339.88</v>
      </c>
      <c r="G31" s="23">
        <f>G32+G33-G34</f>
        <v>27</v>
      </c>
      <c r="H31" s="23">
        <f t="shared" si="0"/>
        <v>42643</v>
      </c>
      <c r="I31" s="52">
        <f t="shared" si="0"/>
        <v>91930.871169699996</v>
      </c>
      <c r="J31" s="52"/>
    </row>
    <row r="32" spans="1:17" x14ac:dyDescent="0.2">
      <c r="A32" s="18" t="s">
        <v>4</v>
      </c>
      <c r="B32" s="121"/>
      <c r="C32" s="22" t="s">
        <v>97</v>
      </c>
      <c r="D32" s="23">
        <f t="shared" ref="D32:I32" si="1">D36+D66+D80+D94</f>
        <v>0</v>
      </c>
      <c r="E32" s="23">
        <f t="shared" si="1"/>
        <v>0</v>
      </c>
      <c r="F32" s="51">
        <f t="shared" si="1"/>
        <v>0</v>
      </c>
      <c r="G32" s="23">
        <f t="shared" si="1"/>
        <v>22</v>
      </c>
      <c r="H32" s="23">
        <f t="shared" si="1"/>
        <v>32943</v>
      </c>
      <c r="I32" s="52">
        <f t="shared" si="1"/>
        <v>71297.895169700001</v>
      </c>
      <c r="J32" s="52"/>
    </row>
    <row r="33" spans="1:10" x14ac:dyDescent="0.2">
      <c r="A33" s="18" t="s">
        <v>5</v>
      </c>
      <c r="B33" s="121"/>
      <c r="C33" s="22" t="s">
        <v>98</v>
      </c>
      <c r="D33" s="23">
        <f t="shared" ref="D33:I33" si="2">D37+D72+D86+D100</f>
        <v>1</v>
      </c>
      <c r="E33" s="23">
        <f t="shared" si="2"/>
        <v>1000</v>
      </c>
      <c r="F33" s="51">
        <f t="shared" si="2"/>
        <v>2339.88</v>
      </c>
      <c r="G33" s="23">
        <f t="shared" si="2"/>
        <v>5</v>
      </c>
      <c r="H33" s="23">
        <f t="shared" si="2"/>
        <v>9700</v>
      </c>
      <c r="I33" s="52">
        <f t="shared" si="2"/>
        <v>20632.976000000002</v>
      </c>
      <c r="J33" s="52"/>
    </row>
    <row r="34" spans="1:10" x14ac:dyDescent="0.2">
      <c r="A34" s="18" t="s">
        <v>115</v>
      </c>
      <c r="B34" s="121"/>
      <c r="C34" s="22" t="s">
        <v>24</v>
      </c>
      <c r="D34" s="23">
        <f t="shared" ref="D34:I34" si="3">D38+D78+D92+D106</f>
        <v>0</v>
      </c>
      <c r="E34" s="23">
        <f t="shared" si="3"/>
        <v>0</v>
      </c>
      <c r="F34" s="51">
        <f t="shared" si="3"/>
        <v>0</v>
      </c>
      <c r="G34" s="23">
        <f t="shared" si="3"/>
        <v>0</v>
      </c>
      <c r="H34" s="23">
        <f t="shared" si="3"/>
        <v>0</v>
      </c>
      <c r="I34" s="52">
        <f t="shared" si="3"/>
        <v>0</v>
      </c>
      <c r="J34" s="52"/>
    </row>
    <row r="35" spans="1:10" s="16" customFormat="1" x14ac:dyDescent="0.2">
      <c r="A35" s="66" t="s">
        <v>6</v>
      </c>
      <c r="B35" s="21" t="s">
        <v>99</v>
      </c>
      <c r="C35" s="21"/>
      <c r="D35" s="27">
        <f t="shared" ref="D35:I35" si="4">D36+D37-D38</f>
        <v>0</v>
      </c>
      <c r="E35" s="27">
        <f t="shared" si="4"/>
        <v>0</v>
      </c>
      <c r="F35" s="55">
        <f t="shared" si="4"/>
        <v>0</v>
      </c>
      <c r="G35" s="27">
        <f t="shared" si="4"/>
        <v>0</v>
      </c>
      <c r="H35" s="27">
        <f t="shared" si="4"/>
        <v>0</v>
      </c>
      <c r="I35" s="56">
        <f t="shared" si="4"/>
        <v>0</v>
      </c>
      <c r="J35" s="56"/>
    </row>
    <row r="36" spans="1:10" x14ac:dyDescent="0.2">
      <c r="A36" s="66" t="s">
        <v>4</v>
      </c>
      <c r="B36" s="19"/>
      <c r="C36" s="22" t="s">
        <v>97</v>
      </c>
      <c r="D36" s="53">
        <f t="shared" ref="D36:I36" si="5">D40+D44+D48+D62</f>
        <v>0</v>
      </c>
      <c r="E36" s="53">
        <f t="shared" si="5"/>
        <v>0</v>
      </c>
      <c r="F36" s="54">
        <f t="shared" si="5"/>
        <v>0</v>
      </c>
      <c r="G36" s="53">
        <f t="shared" si="5"/>
        <v>0</v>
      </c>
      <c r="H36" s="53">
        <f t="shared" si="5"/>
        <v>0</v>
      </c>
      <c r="I36" s="54">
        <f t="shared" si="5"/>
        <v>0</v>
      </c>
      <c r="J36" s="54"/>
    </row>
    <row r="37" spans="1:10" x14ac:dyDescent="0.2">
      <c r="A37" s="66" t="s">
        <v>5</v>
      </c>
      <c r="B37" s="19"/>
      <c r="C37" s="22" t="s">
        <v>98</v>
      </c>
      <c r="D37" s="53">
        <f t="shared" ref="D37:I37" si="6">D41+D45+D54+D63</f>
        <v>0</v>
      </c>
      <c r="E37" s="53">
        <f t="shared" si="6"/>
        <v>0</v>
      </c>
      <c r="F37" s="54">
        <f t="shared" si="6"/>
        <v>0</v>
      </c>
      <c r="G37" s="53">
        <f t="shared" si="6"/>
        <v>0</v>
      </c>
      <c r="H37" s="53">
        <f t="shared" si="6"/>
        <v>0</v>
      </c>
      <c r="I37" s="54">
        <f t="shared" si="6"/>
        <v>0</v>
      </c>
      <c r="J37" s="54"/>
    </row>
    <row r="38" spans="1:10" x14ac:dyDescent="0.2">
      <c r="A38" s="66" t="s">
        <v>115</v>
      </c>
      <c r="B38" s="121"/>
      <c r="C38" s="22" t="s">
        <v>24</v>
      </c>
      <c r="D38" s="53">
        <f t="shared" ref="D38:I38" si="7">D42+D46+D60+D64</f>
        <v>0</v>
      </c>
      <c r="E38" s="53">
        <f t="shared" si="7"/>
        <v>0</v>
      </c>
      <c r="F38" s="54">
        <f t="shared" si="7"/>
        <v>0</v>
      </c>
      <c r="G38" s="53">
        <f t="shared" si="7"/>
        <v>0</v>
      </c>
      <c r="H38" s="53">
        <f t="shared" si="7"/>
        <v>0</v>
      </c>
      <c r="I38" s="54">
        <f t="shared" si="7"/>
        <v>0</v>
      </c>
      <c r="J38" s="54"/>
    </row>
    <row r="39" spans="1:10" ht="25.5" x14ac:dyDescent="0.2">
      <c r="A39" s="66" t="s">
        <v>151</v>
      </c>
      <c r="B39" s="19" t="s">
        <v>7</v>
      </c>
      <c r="C39" s="19"/>
      <c r="D39" s="53">
        <f t="shared" ref="D39:I39" si="8">D40+D41-D42</f>
        <v>0</v>
      </c>
      <c r="E39" s="53">
        <f t="shared" si="8"/>
        <v>0</v>
      </c>
      <c r="F39" s="54">
        <f t="shared" si="8"/>
        <v>0</v>
      </c>
      <c r="G39" s="53">
        <f t="shared" si="8"/>
        <v>0</v>
      </c>
      <c r="H39" s="53">
        <f t="shared" si="8"/>
        <v>0</v>
      </c>
      <c r="I39" s="54">
        <f t="shared" si="8"/>
        <v>0</v>
      </c>
      <c r="J39" s="54"/>
    </row>
    <row r="40" spans="1:10" x14ac:dyDescent="0.2">
      <c r="A40" s="66" t="s">
        <v>4</v>
      </c>
      <c r="B40" s="19"/>
      <c r="C40" s="22" t="s">
        <v>97</v>
      </c>
      <c r="D40" s="57"/>
      <c r="E40" s="57"/>
      <c r="F40" s="58"/>
      <c r="G40" s="57"/>
      <c r="H40" s="57"/>
      <c r="I40" s="58"/>
      <c r="J40" s="58"/>
    </row>
    <row r="41" spans="1:10" x14ac:dyDescent="0.2">
      <c r="A41" s="66" t="s">
        <v>5</v>
      </c>
      <c r="B41" s="19"/>
      <c r="C41" s="22" t="s">
        <v>98</v>
      </c>
      <c r="D41" s="57"/>
      <c r="E41" s="57"/>
      <c r="F41" s="58"/>
      <c r="G41" s="57"/>
      <c r="H41" s="57"/>
      <c r="I41" s="58"/>
      <c r="J41" s="58"/>
    </row>
    <row r="42" spans="1:10" x14ac:dyDescent="0.2">
      <c r="A42" s="66" t="s">
        <v>115</v>
      </c>
      <c r="B42" s="121"/>
      <c r="C42" s="22" t="s">
        <v>24</v>
      </c>
      <c r="D42" s="57"/>
      <c r="E42" s="57"/>
      <c r="F42" s="58"/>
      <c r="G42" s="57"/>
      <c r="H42" s="57"/>
      <c r="I42" s="58"/>
      <c r="J42" s="58"/>
    </row>
    <row r="43" spans="1:10" ht="51" x14ac:dyDescent="0.2">
      <c r="A43" s="66" t="s">
        <v>231</v>
      </c>
      <c r="B43" s="19" t="s">
        <v>8</v>
      </c>
      <c r="C43" s="19"/>
      <c r="D43" s="53">
        <f t="shared" ref="D43:I43" si="9">D44+D45-D46</f>
        <v>0</v>
      </c>
      <c r="E43" s="53">
        <f t="shared" si="9"/>
        <v>0</v>
      </c>
      <c r="F43" s="54">
        <f t="shared" si="9"/>
        <v>0</v>
      </c>
      <c r="G43" s="53">
        <f t="shared" si="9"/>
        <v>0</v>
      </c>
      <c r="H43" s="53">
        <f t="shared" si="9"/>
        <v>0</v>
      </c>
      <c r="I43" s="54">
        <f t="shared" si="9"/>
        <v>0</v>
      </c>
      <c r="J43" s="54"/>
    </row>
    <row r="44" spans="1:10" x14ac:dyDescent="0.2">
      <c r="A44" s="66" t="s">
        <v>4</v>
      </c>
      <c r="B44" s="19"/>
      <c r="C44" s="22" t="s">
        <v>97</v>
      </c>
      <c r="D44" s="57"/>
      <c r="E44" s="57"/>
      <c r="F44" s="58"/>
      <c r="G44" s="57"/>
      <c r="H44" s="57"/>
      <c r="I44" s="58"/>
      <c r="J44" s="58"/>
    </row>
    <row r="45" spans="1:10" x14ac:dyDescent="0.2">
      <c r="A45" s="66" t="s">
        <v>5</v>
      </c>
      <c r="B45" s="19"/>
      <c r="C45" s="22" t="s">
        <v>98</v>
      </c>
      <c r="D45" s="57"/>
      <c r="E45" s="57"/>
      <c r="F45" s="58"/>
      <c r="G45" s="57"/>
      <c r="H45" s="57"/>
      <c r="I45" s="58"/>
      <c r="J45" s="58"/>
    </row>
    <row r="46" spans="1:10" x14ac:dyDescent="0.2">
      <c r="A46" s="66" t="s">
        <v>115</v>
      </c>
      <c r="B46" s="121"/>
      <c r="C46" s="22" t="s">
        <v>24</v>
      </c>
      <c r="D46" s="57"/>
      <c r="E46" s="57"/>
      <c r="F46" s="58"/>
      <c r="G46" s="57"/>
      <c r="H46" s="57"/>
      <c r="I46" s="58"/>
      <c r="J46" s="58"/>
    </row>
    <row r="47" spans="1:10" ht="25.5" x14ac:dyDescent="0.2">
      <c r="A47" s="66" t="s">
        <v>152</v>
      </c>
      <c r="B47" s="19" t="s">
        <v>9</v>
      </c>
      <c r="C47" s="19"/>
      <c r="D47" s="53">
        <f t="shared" ref="D47:I47" si="10">D48+D54-D60</f>
        <v>0</v>
      </c>
      <c r="E47" s="53">
        <f t="shared" si="10"/>
        <v>0</v>
      </c>
      <c r="F47" s="54">
        <f t="shared" si="10"/>
        <v>0</v>
      </c>
      <c r="G47" s="53">
        <f t="shared" si="10"/>
        <v>0</v>
      </c>
      <c r="H47" s="53">
        <f t="shared" si="10"/>
        <v>0</v>
      </c>
      <c r="I47" s="54">
        <f t="shared" si="10"/>
        <v>0</v>
      </c>
      <c r="J47" s="54"/>
    </row>
    <row r="48" spans="1:10" x14ac:dyDescent="0.2">
      <c r="A48" s="66" t="s">
        <v>4</v>
      </c>
      <c r="B48" s="19"/>
      <c r="C48" s="22" t="s">
        <v>97</v>
      </c>
      <c r="D48" s="57"/>
      <c r="E48" s="57"/>
      <c r="F48" s="58"/>
      <c r="G48" s="57"/>
      <c r="H48" s="57"/>
      <c r="I48" s="58"/>
      <c r="J48" s="58"/>
    </row>
    <row r="49" spans="1:10" x14ac:dyDescent="0.2">
      <c r="A49" s="66" t="s">
        <v>153</v>
      </c>
      <c r="B49" s="121"/>
      <c r="C49" s="22" t="s">
        <v>199</v>
      </c>
      <c r="D49" s="25" t="s">
        <v>88</v>
      </c>
      <c r="E49" s="25" t="s">
        <v>88</v>
      </c>
      <c r="F49" s="25" t="s">
        <v>88</v>
      </c>
      <c r="G49" s="25" t="s">
        <v>88</v>
      </c>
      <c r="H49" s="25" t="s">
        <v>88</v>
      </c>
      <c r="I49" s="25" t="s">
        <v>88</v>
      </c>
      <c r="J49" s="25"/>
    </row>
    <row r="50" spans="1:10" ht="25.5" x14ac:dyDescent="0.2">
      <c r="A50" s="66" t="s">
        <v>139</v>
      </c>
      <c r="B50" s="121"/>
      <c r="C50" s="22" t="s">
        <v>140</v>
      </c>
      <c r="D50" s="59"/>
      <c r="E50" s="59"/>
      <c r="F50" s="60"/>
      <c r="G50" s="59"/>
      <c r="H50" s="59"/>
      <c r="I50" s="60"/>
      <c r="J50" s="60"/>
    </row>
    <row r="51" spans="1:10" ht="25.5" x14ac:dyDescent="0.2">
      <c r="A51" s="66" t="s">
        <v>141</v>
      </c>
      <c r="B51" s="121"/>
      <c r="C51" s="22" t="s">
        <v>144</v>
      </c>
      <c r="D51" s="59"/>
      <c r="E51" s="59"/>
      <c r="F51" s="60"/>
      <c r="G51" s="59"/>
      <c r="H51" s="59"/>
      <c r="I51" s="60"/>
      <c r="J51" s="60"/>
    </row>
    <row r="52" spans="1:10" ht="25.5" x14ac:dyDescent="0.2">
      <c r="A52" s="66" t="s">
        <v>142</v>
      </c>
      <c r="B52" s="121"/>
      <c r="C52" s="22" t="s">
        <v>145</v>
      </c>
      <c r="D52" s="59"/>
      <c r="E52" s="59"/>
      <c r="F52" s="60"/>
      <c r="G52" s="59"/>
      <c r="H52" s="59"/>
      <c r="I52" s="60"/>
      <c r="J52" s="60"/>
    </row>
    <row r="53" spans="1:10" ht="25.5" x14ac:dyDescent="0.2">
      <c r="A53" s="66" t="s">
        <v>143</v>
      </c>
      <c r="B53" s="121"/>
      <c r="C53" s="22" t="s">
        <v>146</v>
      </c>
      <c r="D53" s="59"/>
      <c r="E53" s="59"/>
      <c r="F53" s="60"/>
      <c r="G53" s="59"/>
      <c r="H53" s="59"/>
      <c r="I53" s="60"/>
      <c r="J53" s="60"/>
    </row>
    <row r="54" spans="1:10" x14ac:dyDescent="0.2">
      <c r="A54" s="66" t="s">
        <v>5</v>
      </c>
      <c r="B54" s="19"/>
      <c r="C54" s="22" t="s">
        <v>98</v>
      </c>
      <c r="D54" s="57"/>
      <c r="E54" s="57"/>
      <c r="F54" s="61"/>
      <c r="G54" s="57"/>
      <c r="H54" s="57"/>
      <c r="I54" s="61"/>
      <c r="J54" s="61"/>
    </row>
    <row r="55" spans="1:10" x14ac:dyDescent="0.2">
      <c r="A55" s="66" t="s">
        <v>153</v>
      </c>
      <c r="B55" s="121"/>
      <c r="C55" s="22" t="s">
        <v>200</v>
      </c>
      <c r="D55" s="25" t="s">
        <v>88</v>
      </c>
      <c r="E55" s="25" t="s">
        <v>88</v>
      </c>
      <c r="F55" s="25" t="s">
        <v>88</v>
      </c>
      <c r="G55" s="25" t="s">
        <v>88</v>
      </c>
      <c r="H55" s="25" t="s">
        <v>88</v>
      </c>
      <c r="I55" s="25" t="s">
        <v>88</v>
      </c>
      <c r="J55" s="25"/>
    </row>
    <row r="56" spans="1:10" ht="25.5" x14ac:dyDescent="0.2">
      <c r="A56" s="66" t="s">
        <v>139</v>
      </c>
      <c r="B56" s="121"/>
      <c r="C56" s="22" t="s">
        <v>147</v>
      </c>
      <c r="D56" s="59"/>
      <c r="E56" s="59"/>
      <c r="F56" s="60"/>
      <c r="G56" s="59"/>
      <c r="H56" s="59"/>
      <c r="I56" s="60"/>
      <c r="J56" s="60"/>
    </row>
    <row r="57" spans="1:10" ht="25.5" x14ac:dyDescent="0.2">
      <c r="A57" s="66" t="s">
        <v>141</v>
      </c>
      <c r="B57" s="121"/>
      <c r="C57" s="22" t="s">
        <v>148</v>
      </c>
      <c r="D57" s="59"/>
      <c r="E57" s="59"/>
      <c r="F57" s="60"/>
      <c r="G57" s="59"/>
      <c r="H57" s="59"/>
      <c r="I57" s="60"/>
      <c r="J57" s="60"/>
    </row>
    <row r="58" spans="1:10" ht="25.5" x14ac:dyDescent="0.2">
      <c r="A58" s="66" t="s">
        <v>142</v>
      </c>
      <c r="B58" s="121"/>
      <c r="C58" s="22" t="s">
        <v>149</v>
      </c>
      <c r="D58" s="59"/>
      <c r="E58" s="59"/>
      <c r="F58" s="60"/>
      <c r="G58" s="59"/>
      <c r="H58" s="59"/>
      <c r="I58" s="60"/>
      <c r="J58" s="60"/>
    </row>
    <row r="59" spans="1:10" ht="25.5" x14ac:dyDescent="0.2">
      <c r="A59" s="66" t="s">
        <v>143</v>
      </c>
      <c r="B59" s="121"/>
      <c r="C59" s="22" t="s">
        <v>150</v>
      </c>
      <c r="D59" s="59"/>
      <c r="E59" s="59"/>
      <c r="F59" s="60"/>
      <c r="G59" s="59"/>
      <c r="H59" s="59"/>
      <c r="I59" s="60"/>
      <c r="J59" s="60"/>
    </row>
    <row r="60" spans="1:10" x14ac:dyDescent="0.2">
      <c r="A60" s="66" t="s">
        <v>115</v>
      </c>
      <c r="B60" s="121"/>
      <c r="C60" s="22" t="s">
        <v>24</v>
      </c>
      <c r="D60" s="57"/>
      <c r="E60" s="57"/>
      <c r="F60" s="61"/>
      <c r="G60" s="57"/>
      <c r="H60" s="57"/>
      <c r="I60" s="61"/>
      <c r="J60" s="61"/>
    </row>
    <row r="61" spans="1:10" x14ac:dyDescent="0.2">
      <c r="A61" s="66" t="s">
        <v>232</v>
      </c>
      <c r="B61" s="19" t="s">
        <v>10</v>
      </c>
      <c r="C61" s="19"/>
      <c r="D61" s="53">
        <f t="shared" ref="D61:I61" si="11">D62+D63-D64</f>
        <v>0</v>
      </c>
      <c r="E61" s="53">
        <f t="shared" si="11"/>
        <v>0</v>
      </c>
      <c r="F61" s="54">
        <f t="shared" si="11"/>
        <v>0</v>
      </c>
      <c r="G61" s="53">
        <f t="shared" si="11"/>
        <v>0</v>
      </c>
      <c r="H61" s="53">
        <f t="shared" si="11"/>
        <v>0</v>
      </c>
      <c r="I61" s="54">
        <f t="shared" si="11"/>
        <v>0</v>
      </c>
      <c r="J61" s="54"/>
    </row>
    <row r="62" spans="1:10" x14ac:dyDescent="0.2">
      <c r="A62" s="66" t="s">
        <v>4</v>
      </c>
      <c r="B62" s="19"/>
      <c r="C62" s="22" t="s">
        <v>97</v>
      </c>
      <c r="D62" s="57"/>
      <c r="E62" s="57"/>
      <c r="F62" s="61"/>
      <c r="G62" s="57"/>
      <c r="H62" s="57"/>
      <c r="I62" s="61"/>
      <c r="J62" s="61"/>
    </row>
    <row r="63" spans="1:10" x14ac:dyDescent="0.2">
      <c r="A63" s="66" t="s">
        <v>5</v>
      </c>
      <c r="B63" s="19"/>
      <c r="C63" s="22" t="s">
        <v>98</v>
      </c>
      <c r="D63" s="57"/>
      <c r="E63" s="57"/>
      <c r="F63" s="61"/>
      <c r="G63" s="57"/>
      <c r="H63" s="57"/>
      <c r="I63" s="61"/>
      <c r="J63" s="61"/>
    </row>
    <row r="64" spans="1:10" x14ac:dyDescent="0.2">
      <c r="A64" s="66" t="s">
        <v>115</v>
      </c>
      <c r="B64" s="121"/>
      <c r="C64" s="22" t="s">
        <v>24</v>
      </c>
      <c r="D64" s="57"/>
      <c r="E64" s="57"/>
      <c r="F64" s="61"/>
      <c r="G64" s="57"/>
      <c r="H64" s="57"/>
      <c r="I64" s="61"/>
      <c r="J64" s="61"/>
    </row>
    <row r="65" spans="1:10" ht="25.5" x14ac:dyDescent="0.2">
      <c r="A65" s="66" t="s">
        <v>11</v>
      </c>
      <c r="B65" s="19" t="s">
        <v>45</v>
      </c>
      <c r="C65" s="19"/>
      <c r="D65" s="29">
        <f t="shared" ref="D65:I65" si="12">D66+D72-D78</f>
        <v>0</v>
      </c>
      <c r="E65" s="29">
        <f t="shared" si="12"/>
        <v>0</v>
      </c>
      <c r="F65" s="24">
        <f t="shared" si="12"/>
        <v>0</v>
      </c>
      <c r="G65" s="23">
        <f t="shared" si="12"/>
        <v>0</v>
      </c>
      <c r="H65" s="23">
        <f t="shared" si="12"/>
        <v>0</v>
      </c>
      <c r="I65" s="24">
        <f t="shared" si="12"/>
        <v>0</v>
      </c>
      <c r="J65" s="24"/>
    </row>
    <row r="66" spans="1:10" x14ac:dyDescent="0.2">
      <c r="A66" s="66" t="s">
        <v>4</v>
      </c>
      <c r="B66" s="19"/>
      <c r="C66" s="22" t="s">
        <v>97</v>
      </c>
      <c r="D66" s="62"/>
      <c r="E66" s="62"/>
      <c r="F66" s="60"/>
      <c r="G66" s="62"/>
      <c r="H66" s="62"/>
      <c r="I66" s="60"/>
      <c r="J66" s="60"/>
    </row>
    <row r="67" spans="1:10" ht="25.5" x14ac:dyDescent="0.2">
      <c r="A67" s="66" t="s">
        <v>154</v>
      </c>
      <c r="B67" s="121"/>
      <c r="C67" s="22" t="s">
        <v>199</v>
      </c>
      <c r="D67" s="25" t="s">
        <v>88</v>
      </c>
      <c r="E67" s="25" t="s">
        <v>88</v>
      </c>
      <c r="F67" s="25" t="s">
        <v>88</v>
      </c>
      <c r="G67" s="25" t="s">
        <v>88</v>
      </c>
      <c r="H67" s="25" t="s">
        <v>88</v>
      </c>
      <c r="I67" s="25" t="s">
        <v>88</v>
      </c>
      <c r="J67" s="25"/>
    </row>
    <row r="68" spans="1:10" ht="25.5" x14ac:dyDescent="0.2">
      <c r="A68" s="66" t="s">
        <v>139</v>
      </c>
      <c r="B68" s="121"/>
      <c r="C68" s="22" t="s">
        <v>140</v>
      </c>
      <c r="D68" s="59"/>
      <c r="E68" s="59"/>
      <c r="F68" s="60"/>
      <c r="G68" s="59"/>
      <c r="H68" s="59"/>
      <c r="I68" s="60"/>
      <c r="J68" s="60"/>
    </row>
    <row r="69" spans="1:10" ht="25.5" x14ac:dyDescent="0.2">
      <c r="A69" s="66" t="s">
        <v>141</v>
      </c>
      <c r="B69" s="121"/>
      <c r="C69" s="22" t="s">
        <v>144</v>
      </c>
      <c r="D69" s="59"/>
      <c r="E69" s="59"/>
      <c r="F69" s="60"/>
      <c r="G69" s="59"/>
      <c r="H69" s="59"/>
      <c r="I69" s="60"/>
      <c r="J69" s="60"/>
    </row>
    <row r="70" spans="1:10" ht="25.5" x14ac:dyDescent="0.2">
      <c r="A70" s="66" t="s">
        <v>142</v>
      </c>
      <c r="B70" s="121"/>
      <c r="C70" s="22" t="s">
        <v>145</v>
      </c>
      <c r="D70" s="59"/>
      <c r="E70" s="59"/>
      <c r="F70" s="60"/>
      <c r="G70" s="59"/>
      <c r="H70" s="59"/>
      <c r="I70" s="60"/>
      <c r="J70" s="60"/>
    </row>
    <row r="71" spans="1:10" ht="25.5" x14ac:dyDescent="0.2">
      <c r="A71" s="66" t="s">
        <v>143</v>
      </c>
      <c r="B71" s="121"/>
      <c r="C71" s="22" t="s">
        <v>146</v>
      </c>
      <c r="D71" s="59"/>
      <c r="E71" s="59"/>
      <c r="F71" s="60"/>
      <c r="G71" s="59"/>
      <c r="H71" s="59"/>
      <c r="I71" s="60"/>
      <c r="J71" s="60"/>
    </row>
    <row r="72" spans="1:10" x14ac:dyDescent="0.2">
      <c r="A72" s="66" t="s">
        <v>5</v>
      </c>
      <c r="B72" s="19"/>
      <c r="C72" s="22" t="s">
        <v>98</v>
      </c>
      <c r="D72" s="62"/>
      <c r="E72" s="62"/>
      <c r="F72" s="60"/>
      <c r="G72" s="62"/>
      <c r="H72" s="62"/>
      <c r="I72" s="60"/>
      <c r="J72" s="60"/>
    </row>
    <row r="73" spans="1:10" ht="25.5" x14ac:dyDescent="0.2">
      <c r="A73" s="66" t="s">
        <v>154</v>
      </c>
      <c r="B73" s="121"/>
      <c r="C73" s="22" t="s">
        <v>200</v>
      </c>
      <c r="D73" s="25" t="s">
        <v>88</v>
      </c>
      <c r="E73" s="25" t="s">
        <v>88</v>
      </c>
      <c r="F73" s="25" t="s">
        <v>88</v>
      </c>
      <c r="G73" s="25" t="s">
        <v>88</v>
      </c>
      <c r="H73" s="25" t="s">
        <v>88</v>
      </c>
      <c r="I73" s="25" t="s">
        <v>88</v>
      </c>
      <c r="J73" s="25"/>
    </row>
    <row r="74" spans="1:10" ht="25.5" x14ac:dyDescent="0.2">
      <c r="A74" s="66" t="s">
        <v>139</v>
      </c>
      <c r="B74" s="121"/>
      <c r="C74" s="22" t="s">
        <v>147</v>
      </c>
      <c r="D74" s="59"/>
      <c r="E74" s="59"/>
      <c r="F74" s="60"/>
      <c r="G74" s="59"/>
      <c r="H74" s="59"/>
      <c r="I74" s="60"/>
      <c r="J74" s="60"/>
    </row>
    <row r="75" spans="1:10" ht="25.5" x14ac:dyDescent="0.2">
      <c r="A75" s="66" t="s">
        <v>141</v>
      </c>
      <c r="B75" s="121"/>
      <c r="C75" s="22" t="s">
        <v>148</v>
      </c>
      <c r="D75" s="59"/>
      <c r="E75" s="59"/>
      <c r="F75" s="60"/>
      <c r="G75" s="59"/>
      <c r="H75" s="59"/>
      <c r="I75" s="60"/>
      <c r="J75" s="60"/>
    </row>
    <row r="76" spans="1:10" ht="25.5" x14ac:dyDescent="0.2">
      <c r="A76" s="66" t="s">
        <v>142</v>
      </c>
      <c r="B76" s="121"/>
      <c r="C76" s="22" t="s">
        <v>149</v>
      </c>
      <c r="D76" s="59"/>
      <c r="E76" s="59"/>
      <c r="F76" s="60"/>
      <c r="G76" s="59"/>
      <c r="H76" s="59"/>
      <c r="I76" s="60"/>
      <c r="J76" s="60"/>
    </row>
    <row r="77" spans="1:10" ht="25.5" x14ac:dyDescent="0.2">
      <c r="A77" s="66" t="s">
        <v>143</v>
      </c>
      <c r="B77" s="121"/>
      <c r="C77" s="22" t="s">
        <v>150</v>
      </c>
      <c r="D77" s="59"/>
      <c r="E77" s="59"/>
      <c r="F77" s="60"/>
      <c r="G77" s="59"/>
      <c r="H77" s="59"/>
      <c r="I77" s="60"/>
      <c r="J77" s="60"/>
    </row>
    <row r="78" spans="1:10" x14ac:dyDescent="0.2">
      <c r="A78" s="66" t="s">
        <v>115</v>
      </c>
      <c r="B78" s="121"/>
      <c r="C78" s="22" t="s">
        <v>24</v>
      </c>
      <c r="D78" s="62"/>
      <c r="E78" s="62"/>
      <c r="F78" s="60"/>
      <c r="G78" s="62"/>
      <c r="H78" s="62"/>
      <c r="I78" s="60"/>
      <c r="J78" s="60"/>
    </row>
    <row r="79" spans="1:10" ht="25.5" x14ac:dyDescent="0.2">
      <c r="A79" s="66" t="s">
        <v>12</v>
      </c>
      <c r="B79" s="19" t="s">
        <v>46</v>
      </c>
      <c r="C79" s="19"/>
      <c r="D79" s="29">
        <f>D80+D86-D92</f>
        <v>0</v>
      </c>
      <c r="E79" s="29">
        <f t="shared" ref="E79:I79" si="13">E80+E86-E92</f>
        <v>0</v>
      </c>
      <c r="F79" s="24">
        <f t="shared" si="13"/>
        <v>0</v>
      </c>
      <c r="G79" s="23">
        <f t="shared" si="13"/>
        <v>0</v>
      </c>
      <c r="H79" s="23">
        <f t="shared" si="13"/>
        <v>0</v>
      </c>
      <c r="I79" s="24">
        <f t="shared" si="13"/>
        <v>0</v>
      </c>
      <c r="J79" s="24"/>
    </row>
    <row r="80" spans="1:10" x14ac:dyDescent="0.2">
      <c r="A80" s="66" t="s">
        <v>4</v>
      </c>
      <c r="B80" s="19"/>
      <c r="C80" s="22" t="s">
        <v>97</v>
      </c>
      <c r="D80" s="59"/>
      <c r="E80" s="59"/>
      <c r="F80" s="60"/>
      <c r="G80" s="62"/>
      <c r="H80" s="62"/>
      <c r="I80" s="60"/>
      <c r="J80" s="60"/>
    </row>
    <row r="81" spans="1:10" ht="54" customHeight="1" x14ac:dyDescent="0.2">
      <c r="A81" s="66" t="s">
        <v>155</v>
      </c>
      <c r="B81" s="121"/>
      <c r="C81" s="22" t="s">
        <v>199</v>
      </c>
      <c r="D81" s="25" t="s">
        <v>88</v>
      </c>
      <c r="E81" s="25" t="s">
        <v>88</v>
      </c>
      <c r="F81" s="25" t="s">
        <v>88</v>
      </c>
      <c r="G81" s="25" t="s">
        <v>88</v>
      </c>
      <c r="H81" s="25" t="s">
        <v>88</v>
      </c>
      <c r="I81" s="25" t="s">
        <v>88</v>
      </c>
      <c r="J81" s="25"/>
    </row>
    <row r="82" spans="1:10" ht="25.5" x14ac:dyDescent="0.2">
      <c r="A82" s="66" t="s">
        <v>139</v>
      </c>
      <c r="B82" s="121"/>
      <c r="C82" s="22" t="s">
        <v>140</v>
      </c>
      <c r="D82" s="59"/>
      <c r="E82" s="59"/>
      <c r="F82" s="60"/>
      <c r="G82" s="59"/>
      <c r="H82" s="59"/>
      <c r="I82" s="60"/>
      <c r="J82" s="60"/>
    </row>
    <row r="83" spans="1:10" ht="25.5" x14ac:dyDescent="0.2">
      <c r="A83" s="66" t="s">
        <v>141</v>
      </c>
      <c r="B83" s="121"/>
      <c r="C83" s="22" t="s">
        <v>144</v>
      </c>
      <c r="D83" s="59"/>
      <c r="E83" s="59"/>
      <c r="F83" s="60"/>
      <c r="G83" s="59"/>
      <c r="H83" s="59"/>
      <c r="I83" s="60"/>
      <c r="J83" s="60"/>
    </row>
    <row r="84" spans="1:10" ht="25.5" x14ac:dyDescent="0.2">
      <c r="A84" s="66" t="s">
        <v>142</v>
      </c>
      <c r="B84" s="121"/>
      <c r="C84" s="22" t="s">
        <v>145</v>
      </c>
      <c r="D84" s="59"/>
      <c r="E84" s="59"/>
      <c r="F84" s="60"/>
      <c r="G84" s="59"/>
      <c r="H84" s="59"/>
      <c r="I84" s="60"/>
      <c r="J84" s="60"/>
    </row>
    <row r="85" spans="1:10" ht="25.5" x14ac:dyDescent="0.2">
      <c r="A85" s="66" t="s">
        <v>143</v>
      </c>
      <c r="B85" s="121"/>
      <c r="C85" s="22" t="s">
        <v>146</v>
      </c>
      <c r="D85" s="59"/>
      <c r="E85" s="59"/>
      <c r="F85" s="60"/>
      <c r="G85" s="59"/>
      <c r="H85" s="59"/>
      <c r="I85" s="60"/>
      <c r="J85" s="60"/>
    </row>
    <row r="86" spans="1:10" x14ac:dyDescent="0.2">
      <c r="A86" s="66" t="s">
        <v>5</v>
      </c>
      <c r="B86" s="19"/>
      <c r="C86" s="22" t="s">
        <v>98</v>
      </c>
      <c r="D86" s="59"/>
      <c r="E86" s="59"/>
      <c r="F86" s="60"/>
      <c r="G86" s="62"/>
      <c r="H86" s="62"/>
      <c r="I86" s="60"/>
      <c r="J86" s="60"/>
    </row>
    <row r="87" spans="1:10" ht="51.75" customHeight="1" x14ac:dyDescent="0.2">
      <c r="A87" s="66" t="s">
        <v>155</v>
      </c>
      <c r="B87" s="121"/>
      <c r="C87" s="22" t="s">
        <v>200</v>
      </c>
      <c r="D87" s="25" t="s">
        <v>88</v>
      </c>
      <c r="E87" s="25" t="s">
        <v>88</v>
      </c>
      <c r="F87" s="25" t="s">
        <v>88</v>
      </c>
      <c r="G87" s="25" t="s">
        <v>88</v>
      </c>
      <c r="H87" s="25" t="s">
        <v>88</v>
      </c>
      <c r="I87" s="25" t="s">
        <v>88</v>
      </c>
      <c r="J87" s="25"/>
    </row>
    <row r="88" spans="1:10" ht="25.5" x14ac:dyDescent="0.2">
      <c r="A88" s="66" t="s">
        <v>139</v>
      </c>
      <c r="B88" s="121"/>
      <c r="C88" s="22" t="s">
        <v>147</v>
      </c>
      <c r="D88" s="59"/>
      <c r="E88" s="59"/>
      <c r="F88" s="60"/>
      <c r="G88" s="59"/>
      <c r="H88" s="59"/>
      <c r="I88" s="60"/>
      <c r="J88" s="60"/>
    </row>
    <row r="89" spans="1:10" ht="25.5" x14ac:dyDescent="0.2">
      <c r="A89" s="66" t="s">
        <v>141</v>
      </c>
      <c r="B89" s="121"/>
      <c r="C89" s="22" t="s">
        <v>148</v>
      </c>
      <c r="D89" s="59"/>
      <c r="E89" s="59"/>
      <c r="F89" s="60"/>
      <c r="G89" s="59"/>
      <c r="H89" s="59"/>
      <c r="I89" s="60"/>
      <c r="J89" s="60"/>
    </row>
    <row r="90" spans="1:10" ht="25.5" x14ac:dyDescent="0.2">
      <c r="A90" s="66" t="s">
        <v>142</v>
      </c>
      <c r="B90" s="121"/>
      <c r="C90" s="22" t="s">
        <v>149</v>
      </c>
      <c r="D90" s="59"/>
      <c r="E90" s="59"/>
      <c r="F90" s="60"/>
      <c r="G90" s="59"/>
      <c r="H90" s="59"/>
      <c r="I90" s="60"/>
      <c r="J90" s="60"/>
    </row>
    <row r="91" spans="1:10" ht="25.5" x14ac:dyDescent="0.2">
      <c r="A91" s="66" t="s">
        <v>143</v>
      </c>
      <c r="B91" s="121"/>
      <c r="C91" s="22" t="s">
        <v>150</v>
      </c>
      <c r="D91" s="59"/>
      <c r="E91" s="59"/>
      <c r="F91" s="60"/>
      <c r="G91" s="59"/>
      <c r="H91" s="59"/>
      <c r="I91" s="60"/>
      <c r="J91" s="60"/>
    </row>
    <row r="92" spans="1:10" x14ac:dyDescent="0.2">
      <c r="A92" s="66" t="s">
        <v>115</v>
      </c>
      <c r="B92" s="121"/>
      <c r="C92" s="22" t="s">
        <v>24</v>
      </c>
      <c r="D92" s="59"/>
      <c r="E92" s="59"/>
      <c r="F92" s="60"/>
      <c r="G92" s="62"/>
      <c r="H92" s="62"/>
      <c r="I92" s="60"/>
      <c r="J92" s="60"/>
    </row>
    <row r="93" spans="1:10" ht="25.5" x14ac:dyDescent="0.2">
      <c r="A93" s="66" t="s">
        <v>13</v>
      </c>
      <c r="B93" s="19" t="s">
        <v>47</v>
      </c>
      <c r="C93" s="19"/>
      <c r="D93" s="29">
        <f>D94+D100-D106</f>
        <v>1</v>
      </c>
      <c r="E93" s="29">
        <f>E94+E100-E106</f>
        <v>1000</v>
      </c>
      <c r="F93" s="24">
        <f t="shared" ref="F93" si="14">F94+F100-F106</f>
        <v>2339.88</v>
      </c>
      <c r="G93" s="23">
        <f>G94+G100-G106</f>
        <v>27</v>
      </c>
      <c r="H93" s="23">
        <f>H94+H100-H106</f>
        <v>42643</v>
      </c>
      <c r="I93" s="24">
        <f>I94+I100-I106</f>
        <v>91930.871169699996</v>
      </c>
      <c r="J93" s="24"/>
    </row>
    <row r="94" spans="1:10" ht="110.25" customHeight="1" x14ac:dyDescent="0.2">
      <c r="A94" s="66" t="s">
        <v>4</v>
      </c>
      <c r="B94" s="19"/>
      <c r="C94" s="22" t="s">
        <v>97</v>
      </c>
      <c r="D94" s="59"/>
      <c r="E94" s="62"/>
      <c r="F94" s="59"/>
      <c r="G94" s="62">
        <f>5+D94+17</f>
        <v>22</v>
      </c>
      <c r="H94" s="62">
        <f>5920+E94+27023</f>
        <v>32943</v>
      </c>
      <c r="I94" s="60">
        <f>13252.29+F94+(3841*2.0417/1000+58037.763)</f>
        <v>71297.895169700001</v>
      </c>
      <c r="J94" s="126"/>
    </row>
    <row r="95" spans="1:10" ht="47.25" customHeight="1" x14ac:dyDescent="0.2">
      <c r="A95" s="66" t="s">
        <v>156</v>
      </c>
      <c r="B95" s="121"/>
      <c r="C95" s="22" t="s">
        <v>199</v>
      </c>
      <c r="D95" s="25" t="s">
        <v>88</v>
      </c>
      <c r="E95" s="25" t="s">
        <v>88</v>
      </c>
      <c r="F95" s="25" t="s">
        <v>88</v>
      </c>
      <c r="G95" s="25" t="s">
        <v>88</v>
      </c>
      <c r="H95" s="25" t="s">
        <v>88</v>
      </c>
      <c r="I95" s="25" t="s">
        <v>88</v>
      </c>
      <c r="J95" s="25"/>
    </row>
    <row r="96" spans="1:10" ht="25.5" x14ac:dyDescent="0.2">
      <c r="A96" s="66" t="s">
        <v>139</v>
      </c>
      <c r="B96" s="121"/>
      <c r="C96" s="22" t="s">
        <v>140</v>
      </c>
      <c r="D96" s="59"/>
      <c r="E96" s="62"/>
      <c r="F96" s="60"/>
      <c r="G96" s="59"/>
      <c r="H96" s="62"/>
      <c r="I96" s="60"/>
      <c r="J96" s="126"/>
    </row>
    <row r="97" spans="1:11" ht="25.5" x14ac:dyDescent="0.2">
      <c r="A97" s="66" t="s">
        <v>141</v>
      </c>
      <c r="B97" s="121"/>
      <c r="C97" s="22" t="s">
        <v>144</v>
      </c>
      <c r="D97" s="59"/>
      <c r="E97" s="59"/>
      <c r="F97" s="60"/>
      <c r="G97" s="59"/>
      <c r="H97" s="59"/>
      <c r="I97" s="60"/>
      <c r="J97" s="60"/>
    </row>
    <row r="98" spans="1:11" ht="25.5" x14ac:dyDescent="0.2">
      <c r="A98" s="66" t="s">
        <v>142</v>
      </c>
      <c r="B98" s="121"/>
      <c r="C98" s="22" t="s">
        <v>145</v>
      </c>
      <c r="D98" s="59"/>
      <c r="E98" s="59"/>
      <c r="F98" s="60"/>
      <c r="G98" s="59"/>
      <c r="H98" s="59"/>
      <c r="I98" s="60"/>
      <c r="J98" s="60"/>
    </row>
    <row r="99" spans="1:11" ht="25.5" x14ac:dyDescent="0.2">
      <c r="A99" s="66" t="s">
        <v>143</v>
      </c>
      <c r="B99" s="121"/>
      <c r="C99" s="22" t="s">
        <v>146</v>
      </c>
      <c r="D99" s="59"/>
      <c r="E99" s="59"/>
      <c r="F99" s="60"/>
      <c r="G99" s="59"/>
      <c r="H99" s="59"/>
      <c r="I99" s="60"/>
      <c r="J99" s="60"/>
    </row>
    <row r="100" spans="1:11" ht="25.5" x14ac:dyDescent="0.2">
      <c r="A100" s="66" t="s">
        <v>5</v>
      </c>
      <c r="B100" s="19"/>
      <c r="C100" s="22" t="s">
        <v>98</v>
      </c>
      <c r="D100" s="59">
        <f>1+D102</f>
        <v>1</v>
      </c>
      <c r="E100" s="62">
        <f>1000+E102</f>
        <v>1000</v>
      </c>
      <c r="F100" s="60">
        <f>2339.88+F102</f>
        <v>2339.88</v>
      </c>
      <c r="G100" s="59">
        <f>2+D100+1+1</f>
        <v>5</v>
      </c>
      <c r="H100" s="62">
        <f>5000+E100+3500+200</f>
        <v>9700</v>
      </c>
      <c r="I100" s="60">
        <f>10438.986+F100+7421.9+432.21</f>
        <v>20632.976000000002</v>
      </c>
      <c r="J100" s="126" t="s">
        <v>852</v>
      </c>
    </row>
    <row r="101" spans="1:11" ht="41.25" customHeight="1" x14ac:dyDescent="0.2">
      <c r="A101" s="66" t="s">
        <v>156</v>
      </c>
      <c r="B101" s="121"/>
      <c r="C101" s="22" t="s">
        <v>200</v>
      </c>
      <c r="D101" s="25" t="s">
        <v>88</v>
      </c>
      <c r="E101" s="25" t="s">
        <v>88</v>
      </c>
      <c r="F101" s="25" t="s">
        <v>88</v>
      </c>
      <c r="G101" s="25" t="s">
        <v>88</v>
      </c>
      <c r="H101" s="25" t="s">
        <v>88</v>
      </c>
      <c r="I101" s="25" t="s">
        <v>88</v>
      </c>
      <c r="J101" s="25"/>
    </row>
    <row r="102" spans="1:11" ht="25.5" x14ac:dyDescent="0.2">
      <c r="A102" s="66" t="s">
        <v>139</v>
      </c>
      <c r="B102" s="121"/>
      <c r="C102" s="22" t="s">
        <v>147</v>
      </c>
      <c r="D102" s="59"/>
      <c r="E102" s="62"/>
      <c r="F102" s="60"/>
      <c r="G102" s="59"/>
      <c r="H102" s="62"/>
      <c r="I102" s="60"/>
      <c r="J102" s="126"/>
    </row>
    <row r="103" spans="1:11" ht="25.5" x14ac:dyDescent="0.2">
      <c r="A103" s="66" t="s">
        <v>141</v>
      </c>
      <c r="B103" s="121"/>
      <c r="C103" s="22" t="s">
        <v>148</v>
      </c>
      <c r="D103" s="59"/>
      <c r="E103" s="59"/>
      <c r="F103" s="60"/>
      <c r="G103" s="59"/>
      <c r="H103" s="59"/>
      <c r="I103" s="60"/>
      <c r="J103" s="60"/>
    </row>
    <row r="104" spans="1:11" ht="25.5" x14ac:dyDescent="0.2">
      <c r="A104" s="66" t="s">
        <v>142</v>
      </c>
      <c r="B104" s="121"/>
      <c r="C104" s="22" t="s">
        <v>149</v>
      </c>
      <c r="D104" s="59"/>
      <c r="E104" s="59"/>
      <c r="F104" s="60"/>
      <c r="G104" s="59"/>
      <c r="H104" s="59"/>
      <c r="I104" s="60"/>
      <c r="J104" s="60"/>
    </row>
    <row r="105" spans="1:11" ht="25.5" x14ac:dyDescent="0.2">
      <c r="A105" s="66" t="s">
        <v>143</v>
      </c>
      <c r="B105" s="121"/>
      <c r="C105" s="22" t="s">
        <v>150</v>
      </c>
      <c r="D105" s="59"/>
      <c r="E105" s="59"/>
      <c r="F105" s="60"/>
      <c r="G105" s="59"/>
      <c r="H105" s="59"/>
      <c r="I105" s="60"/>
      <c r="J105" s="60"/>
    </row>
    <row r="106" spans="1:11" x14ac:dyDescent="0.2">
      <c r="A106" s="66" t="s">
        <v>115</v>
      </c>
      <c r="B106" s="121"/>
      <c r="C106" s="22" t="s">
        <v>24</v>
      </c>
      <c r="D106" s="59"/>
      <c r="E106" s="59"/>
      <c r="F106" s="60"/>
      <c r="G106" s="62"/>
      <c r="H106" s="62"/>
      <c r="I106" s="60"/>
      <c r="J106" s="60"/>
    </row>
    <row r="107" spans="1:11" ht="65.25" customHeight="1" x14ac:dyDescent="0.2">
      <c r="A107" s="66" t="s">
        <v>792</v>
      </c>
      <c r="B107" s="19" t="s">
        <v>102</v>
      </c>
      <c r="C107" s="19"/>
      <c r="D107" s="25" t="s">
        <v>88</v>
      </c>
      <c r="E107" s="25" t="s">
        <v>88</v>
      </c>
      <c r="F107" s="25" t="s">
        <v>88</v>
      </c>
      <c r="G107" s="25" t="s">
        <v>88</v>
      </c>
      <c r="H107" s="25" t="s">
        <v>88</v>
      </c>
      <c r="I107" s="25" t="s">
        <v>88</v>
      </c>
      <c r="J107" s="25"/>
    </row>
    <row r="108" spans="1:11" x14ac:dyDescent="0.2">
      <c r="A108" s="66" t="s">
        <v>16</v>
      </c>
      <c r="B108" s="19" t="s">
        <v>48</v>
      </c>
      <c r="C108" s="19"/>
      <c r="D108" s="23">
        <f>D109+D110-D111</f>
        <v>0</v>
      </c>
      <c r="E108" s="26" t="s">
        <v>14</v>
      </c>
      <c r="F108" s="24">
        <f>F109+F110-F111</f>
        <v>0</v>
      </c>
      <c r="G108" s="23">
        <f>G109+G110-G111</f>
        <v>0</v>
      </c>
      <c r="H108" s="26" t="s">
        <v>14</v>
      </c>
      <c r="I108" s="24">
        <f>I109+I110-I111</f>
        <v>0</v>
      </c>
      <c r="J108" s="24"/>
    </row>
    <row r="109" spans="1:11" x14ac:dyDescent="0.2">
      <c r="A109" s="66" t="s">
        <v>4</v>
      </c>
      <c r="B109" s="19"/>
      <c r="C109" s="22" t="s">
        <v>97</v>
      </c>
      <c r="D109" s="57"/>
      <c r="E109" s="26" t="s">
        <v>14</v>
      </c>
      <c r="F109" s="61"/>
      <c r="G109" s="57"/>
      <c r="H109" s="26" t="s">
        <v>14</v>
      </c>
      <c r="I109" s="61"/>
      <c r="J109" s="61"/>
    </row>
    <row r="110" spans="1:11" x14ac:dyDescent="0.2">
      <c r="A110" s="66" t="s">
        <v>5</v>
      </c>
      <c r="B110" s="19"/>
      <c r="C110" s="22" t="s">
        <v>98</v>
      </c>
      <c r="D110" s="57"/>
      <c r="E110" s="26" t="s">
        <v>14</v>
      </c>
      <c r="F110" s="61"/>
      <c r="G110" s="57"/>
      <c r="H110" s="26" t="s">
        <v>14</v>
      </c>
      <c r="I110" s="61"/>
      <c r="J110" s="61"/>
    </row>
    <row r="111" spans="1:11" x14ac:dyDescent="0.2">
      <c r="A111" s="66" t="s">
        <v>115</v>
      </c>
      <c r="B111" s="121"/>
      <c r="C111" s="22" t="s">
        <v>24</v>
      </c>
      <c r="D111" s="57"/>
      <c r="E111" s="57"/>
      <c r="F111" s="61"/>
      <c r="G111" s="57"/>
      <c r="H111" s="57"/>
      <c r="I111" s="61"/>
      <c r="J111" s="61"/>
    </row>
    <row r="112" spans="1:11" x14ac:dyDescent="0.2">
      <c r="A112" s="66" t="s">
        <v>17</v>
      </c>
      <c r="B112" s="19" t="s">
        <v>49</v>
      </c>
      <c r="C112" s="19"/>
      <c r="D112" s="23">
        <f>D113+D114-D115</f>
        <v>1</v>
      </c>
      <c r="E112" s="26" t="s">
        <v>14</v>
      </c>
      <c r="F112" s="24">
        <f>F113+F114-F115</f>
        <v>2339.88</v>
      </c>
      <c r="G112" s="23">
        <f>G113+G114-G115</f>
        <v>26</v>
      </c>
      <c r="H112" s="26" t="s">
        <v>14</v>
      </c>
      <c r="I112" s="24">
        <f>I113+I114-I115</f>
        <v>91923.026000000013</v>
      </c>
      <c r="J112" s="24"/>
      <c r="K112" s="130"/>
    </row>
    <row r="113" spans="1:11" x14ac:dyDescent="0.2">
      <c r="A113" s="66" t="s">
        <v>4</v>
      </c>
      <c r="B113" s="19"/>
      <c r="C113" s="22" t="s">
        <v>97</v>
      </c>
      <c r="D113" s="57"/>
      <c r="E113" s="26" t="s">
        <v>14</v>
      </c>
      <c r="F113" s="61"/>
      <c r="G113" s="57">
        <f>21+D113</f>
        <v>21</v>
      </c>
      <c r="H113" s="26" t="s">
        <v>14</v>
      </c>
      <c r="I113" s="61">
        <f>F113+13252.29+58037.76</f>
        <v>71290.05</v>
      </c>
      <c r="J113" s="61"/>
      <c r="K113" s="130"/>
    </row>
    <row r="114" spans="1:11" x14ac:dyDescent="0.2">
      <c r="A114" s="66" t="s">
        <v>5</v>
      </c>
      <c r="B114" s="19"/>
      <c r="C114" s="22" t="s">
        <v>98</v>
      </c>
      <c r="D114" s="57">
        <f>D100</f>
        <v>1</v>
      </c>
      <c r="E114" s="26" t="s">
        <v>14</v>
      </c>
      <c r="F114" s="61">
        <f>F100</f>
        <v>2339.88</v>
      </c>
      <c r="G114" s="57">
        <f>D114+2+1+1</f>
        <v>5</v>
      </c>
      <c r="H114" s="26" t="s">
        <v>14</v>
      </c>
      <c r="I114" s="61">
        <f>F114+10438.986+7421.9+432.21</f>
        <v>20632.976000000002</v>
      </c>
      <c r="J114" s="61"/>
    </row>
    <row r="115" spans="1:11" x14ac:dyDescent="0.2">
      <c r="A115" s="66" t="s">
        <v>115</v>
      </c>
      <c r="B115" s="121"/>
      <c r="C115" s="22" t="s">
        <v>24</v>
      </c>
      <c r="D115" s="57"/>
      <c r="E115" s="57"/>
      <c r="F115" s="61"/>
      <c r="G115" s="57"/>
      <c r="H115" s="57"/>
      <c r="I115" s="61"/>
      <c r="J115" s="61"/>
    </row>
    <row r="116" spans="1:11" x14ac:dyDescent="0.2">
      <c r="A116" s="66" t="s">
        <v>18</v>
      </c>
      <c r="B116" s="19" t="s">
        <v>50</v>
      </c>
      <c r="C116" s="19"/>
      <c r="D116" s="29">
        <f>D117+D118-D119</f>
        <v>0</v>
      </c>
      <c r="E116" s="26" t="s">
        <v>14</v>
      </c>
      <c r="F116" s="24">
        <f>F117+F118-F119</f>
        <v>0</v>
      </c>
      <c r="G116" s="23">
        <f>G117+G118-G119</f>
        <v>1</v>
      </c>
      <c r="H116" s="26" t="s">
        <v>14</v>
      </c>
      <c r="I116" s="24">
        <f>I117+I118-I119</f>
        <v>7.8421697000000004</v>
      </c>
      <c r="J116" s="24"/>
    </row>
    <row r="117" spans="1:11" x14ac:dyDescent="0.2">
      <c r="A117" s="66" t="s">
        <v>4</v>
      </c>
      <c r="B117" s="19"/>
      <c r="C117" s="22" t="s">
        <v>97</v>
      </c>
      <c r="D117" s="57"/>
      <c r="E117" s="26" t="s">
        <v>14</v>
      </c>
      <c r="F117" s="61"/>
      <c r="G117" s="57">
        <f>D117+1</f>
        <v>1</v>
      </c>
      <c r="H117" s="26" t="s">
        <v>14</v>
      </c>
      <c r="I117" s="61">
        <f>F117+(3841*2.0417/1000)</f>
        <v>7.8421697000000004</v>
      </c>
      <c r="J117" s="61"/>
    </row>
    <row r="118" spans="1:11" x14ac:dyDescent="0.2">
      <c r="A118" s="66" t="s">
        <v>5</v>
      </c>
      <c r="B118" s="19"/>
      <c r="C118" s="22" t="s">
        <v>98</v>
      </c>
      <c r="D118" s="57"/>
      <c r="E118" s="26" t="s">
        <v>14</v>
      </c>
      <c r="F118" s="61"/>
      <c r="G118" s="57"/>
      <c r="H118" s="26" t="s">
        <v>14</v>
      </c>
      <c r="I118" s="61"/>
      <c r="J118" s="61"/>
    </row>
    <row r="119" spans="1:11" x14ac:dyDescent="0.2">
      <c r="A119" s="66" t="s">
        <v>115</v>
      </c>
      <c r="B119" s="121"/>
      <c r="C119" s="22" t="s">
        <v>24</v>
      </c>
      <c r="D119" s="57"/>
      <c r="E119" s="57"/>
      <c r="F119" s="61"/>
      <c r="G119" s="57"/>
      <c r="H119" s="57"/>
      <c r="I119" s="61"/>
      <c r="J119" s="61"/>
    </row>
    <row r="120" spans="1:11" s="118" customFormat="1" ht="40.5" customHeight="1" x14ac:dyDescent="0.2">
      <c r="A120" s="66" t="s">
        <v>19</v>
      </c>
      <c r="B120" s="119" t="s">
        <v>51</v>
      </c>
      <c r="C120" s="119"/>
      <c r="D120" s="27">
        <v>15</v>
      </c>
      <c r="E120" s="27">
        <v>5803440</v>
      </c>
      <c r="F120" s="28">
        <v>85313.932000000001</v>
      </c>
      <c r="G120" s="27">
        <f>4+9+9+D120</f>
        <v>37</v>
      </c>
      <c r="H120" s="27">
        <f>680+95190104+3889+E120</f>
        <v>100998113</v>
      </c>
      <c r="I120" s="28">
        <f>1498.32+320011.37+2770.771+F120</f>
        <v>409594.39300000004</v>
      </c>
      <c r="J120" s="134" t="s">
        <v>836</v>
      </c>
      <c r="K120" s="141"/>
    </row>
    <row r="121" spans="1:11" ht="42" customHeight="1" x14ac:dyDescent="0.2">
      <c r="A121" s="66" t="s">
        <v>157</v>
      </c>
      <c r="B121" s="19" t="s">
        <v>158</v>
      </c>
      <c r="C121" s="22" t="s">
        <v>138</v>
      </c>
      <c r="D121" s="138" t="s">
        <v>14</v>
      </c>
      <c r="E121" s="138" t="s">
        <v>14</v>
      </c>
      <c r="F121" s="138" t="s">
        <v>14</v>
      </c>
      <c r="G121" s="138" t="s">
        <v>14</v>
      </c>
      <c r="H121" s="138" t="s">
        <v>14</v>
      </c>
      <c r="I121" s="138" t="s">
        <v>14</v>
      </c>
      <c r="J121" s="26"/>
    </row>
    <row r="122" spans="1:11" ht="25.5" x14ac:dyDescent="0.2">
      <c r="A122" s="66" t="s">
        <v>139</v>
      </c>
      <c r="B122" s="121"/>
      <c r="C122" s="22" t="s">
        <v>159</v>
      </c>
      <c r="D122" s="59"/>
      <c r="E122" s="59"/>
      <c r="F122" s="60"/>
      <c r="G122" s="59"/>
      <c r="H122" s="59"/>
      <c r="I122" s="60"/>
      <c r="J122" s="60"/>
    </row>
    <row r="123" spans="1:11" ht="25.5" x14ac:dyDescent="0.2">
      <c r="A123" s="66" t="s">
        <v>141</v>
      </c>
      <c r="B123" s="121"/>
      <c r="C123" s="22" t="s">
        <v>160</v>
      </c>
      <c r="D123" s="59"/>
      <c r="E123" s="59"/>
      <c r="F123" s="60"/>
      <c r="G123" s="59"/>
      <c r="H123" s="59"/>
      <c r="I123" s="60"/>
      <c r="J123" s="60"/>
    </row>
    <row r="124" spans="1:11" ht="25.5" x14ac:dyDescent="0.2">
      <c r="A124" s="66" t="s">
        <v>142</v>
      </c>
      <c r="B124" s="121"/>
      <c r="C124" s="22" t="s">
        <v>161</v>
      </c>
      <c r="D124" s="59"/>
      <c r="E124" s="59"/>
      <c r="F124" s="60"/>
      <c r="G124" s="59"/>
      <c r="H124" s="59"/>
      <c r="I124" s="60"/>
      <c r="J124" s="60"/>
    </row>
    <row r="125" spans="1:11" ht="25.5" x14ac:dyDescent="0.2">
      <c r="A125" s="66" t="s">
        <v>143</v>
      </c>
      <c r="B125" s="121"/>
      <c r="C125" s="22" t="s">
        <v>162</v>
      </c>
      <c r="D125" s="59"/>
      <c r="E125" s="59"/>
      <c r="F125" s="60"/>
      <c r="G125" s="59"/>
      <c r="H125" s="59"/>
      <c r="I125" s="60"/>
      <c r="J125" s="60"/>
    </row>
    <row r="126" spans="1:11" ht="38.25" customHeight="1" x14ac:dyDescent="0.2">
      <c r="A126" s="66" t="s">
        <v>117</v>
      </c>
      <c r="B126" s="121"/>
      <c r="C126" s="22" t="s">
        <v>24</v>
      </c>
      <c r="D126" s="63">
        <v>4</v>
      </c>
      <c r="E126" s="63">
        <v>268</v>
      </c>
      <c r="F126" s="64">
        <v>649.34799999999996</v>
      </c>
      <c r="G126" s="63">
        <f>1+3+D126</f>
        <v>8</v>
      </c>
      <c r="H126" s="63">
        <f>21000+1491+E126</f>
        <v>22759</v>
      </c>
      <c r="I126" s="64">
        <f>2100+2005.96+F126</f>
        <v>4755.308</v>
      </c>
      <c r="J126" s="60" t="s">
        <v>837</v>
      </c>
      <c r="K126" s="141"/>
    </row>
    <row r="127" spans="1:11" ht="25.5" x14ac:dyDescent="0.2">
      <c r="A127" s="66" t="s">
        <v>20</v>
      </c>
      <c r="B127" s="19" t="s">
        <v>52</v>
      </c>
      <c r="C127" s="19"/>
      <c r="D127" s="57">
        <v>0</v>
      </c>
      <c r="E127" s="138" t="s">
        <v>14</v>
      </c>
      <c r="F127" s="138" t="s">
        <v>15</v>
      </c>
      <c r="G127" s="138">
        <v>1</v>
      </c>
      <c r="H127" s="138" t="s">
        <v>14</v>
      </c>
      <c r="I127" s="138" t="s">
        <v>15</v>
      </c>
      <c r="J127" s="26"/>
    </row>
    <row r="128" spans="1:11" ht="25.5" x14ac:dyDescent="0.2">
      <c r="A128" s="66" t="s">
        <v>228</v>
      </c>
      <c r="B128" s="19" t="s">
        <v>21</v>
      </c>
      <c r="C128" s="19" t="s">
        <v>103</v>
      </c>
      <c r="D128" s="138" t="s">
        <v>14</v>
      </c>
      <c r="E128" s="65">
        <v>0</v>
      </c>
      <c r="F128" s="64">
        <v>0</v>
      </c>
      <c r="G128" s="138" t="s">
        <v>14</v>
      </c>
      <c r="H128" s="65">
        <v>47559007</v>
      </c>
      <c r="I128" s="64">
        <v>156302.67650999999</v>
      </c>
      <c r="J128" s="28"/>
    </row>
    <row r="129" spans="1:11" ht="40.5" customHeight="1" x14ac:dyDescent="0.2">
      <c r="A129" s="66" t="s">
        <v>229</v>
      </c>
      <c r="B129" s="19" t="s">
        <v>22</v>
      </c>
      <c r="C129" s="19" t="s">
        <v>116</v>
      </c>
      <c r="D129" s="138" t="s">
        <v>14</v>
      </c>
      <c r="E129" s="57">
        <v>0</v>
      </c>
      <c r="F129" s="61">
        <v>0</v>
      </c>
      <c r="G129" s="138" t="s">
        <v>14</v>
      </c>
      <c r="H129" s="57">
        <v>47559007</v>
      </c>
      <c r="I129" s="61">
        <v>156302.67650999999</v>
      </c>
      <c r="J129" s="139"/>
    </row>
    <row r="130" spans="1:11" ht="63.75" x14ac:dyDescent="0.2">
      <c r="A130" s="66" t="s">
        <v>233</v>
      </c>
      <c r="B130" s="19" t="s">
        <v>25</v>
      </c>
      <c r="C130" s="19"/>
      <c r="D130" s="57">
        <v>50</v>
      </c>
      <c r="E130" s="138" t="s">
        <v>26</v>
      </c>
      <c r="F130" s="61">
        <v>240.25</v>
      </c>
      <c r="G130" s="57">
        <f>15+18+60+D130</f>
        <v>143</v>
      </c>
      <c r="H130" s="57" t="s">
        <v>26</v>
      </c>
      <c r="I130" s="61">
        <f>129.93+109.34+441.02+F130</f>
        <v>920.54</v>
      </c>
      <c r="J130" s="61"/>
    </row>
    <row r="131" spans="1:11" ht="36" customHeight="1" x14ac:dyDescent="0.2">
      <c r="A131" s="66" t="s">
        <v>791</v>
      </c>
      <c r="B131" s="19"/>
      <c r="C131" s="22" t="s">
        <v>138</v>
      </c>
      <c r="D131" s="138" t="s">
        <v>14</v>
      </c>
      <c r="E131" s="138" t="s">
        <v>14</v>
      </c>
      <c r="F131" s="138" t="s">
        <v>14</v>
      </c>
      <c r="G131" s="138" t="s">
        <v>14</v>
      </c>
      <c r="H131" s="138" t="s">
        <v>14</v>
      </c>
      <c r="I131" s="138" t="s">
        <v>14</v>
      </c>
      <c r="J131" s="138"/>
    </row>
    <row r="132" spans="1:11" ht="25.5" x14ac:dyDescent="0.2">
      <c r="A132" s="66" t="s">
        <v>139</v>
      </c>
      <c r="B132" s="121"/>
      <c r="C132" s="22" t="s">
        <v>159</v>
      </c>
      <c r="D132" s="59"/>
      <c r="E132" s="59"/>
      <c r="F132" s="60"/>
      <c r="G132" s="59"/>
      <c r="H132" s="59"/>
      <c r="I132" s="60"/>
      <c r="J132" s="60"/>
    </row>
    <row r="133" spans="1:11" ht="25.5" x14ac:dyDescent="0.2">
      <c r="A133" s="66" t="s">
        <v>141</v>
      </c>
      <c r="B133" s="121"/>
      <c r="C133" s="22" t="s">
        <v>160</v>
      </c>
      <c r="D133" s="59"/>
      <c r="E133" s="59"/>
      <c r="F133" s="60"/>
      <c r="G133" s="59"/>
      <c r="H133" s="59"/>
      <c r="I133" s="60"/>
      <c r="J133" s="60"/>
    </row>
    <row r="134" spans="1:11" ht="25.5" x14ac:dyDescent="0.2">
      <c r="A134" s="66" t="s">
        <v>142</v>
      </c>
      <c r="B134" s="121"/>
      <c r="C134" s="22" t="s">
        <v>161</v>
      </c>
      <c r="D134" s="59"/>
      <c r="E134" s="59"/>
      <c r="F134" s="60"/>
      <c r="G134" s="59"/>
      <c r="H134" s="59"/>
      <c r="I134" s="60"/>
      <c r="J134" s="60"/>
    </row>
    <row r="135" spans="1:11" ht="25.5" x14ac:dyDescent="0.2">
      <c r="A135" s="66" t="s">
        <v>143</v>
      </c>
      <c r="B135" s="121"/>
      <c r="C135" s="22" t="s">
        <v>162</v>
      </c>
      <c r="D135" s="59"/>
      <c r="E135" s="59"/>
      <c r="F135" s="60"/>
      <c r="G135" s="59"/>
      <c r="H135" s="59"/>
      <c r="I135" s="60"/>
      <c r="J135" s="60"/>
    </row>
    <row r="136" spans="1:11" x14ac:dyDescent="0.2">
      <c r="A136" s="66" t="s">
        <v>117</v>
      </c>
      <c r="B136" s="121"/>
      <c r="C136" s="22" t="s">
        <v>24</v>
      </c>
      <c r="D136" s="57">
        <v>1</v>
      </c>
      <c r="E136" s="57">
        <v>1840</v>
      </c>
      <c r="F136" s="61">
        <v>184</v>
      </c>
      <c r="G136" s="57">
        <v>1</v>
      </c>
      <c r="H136" s="57">
        <v>1840</v>
      </c>
      <c r="I136" s="61">
        <v>184</v>
      </c>
      <c r="J136" s="61"/>
    </row>
    <row r="137" spans="1:11" s="16" customFormat="1" x14ac:dyDescent="0.2">
      <c r="A137" s="66" t="s">
        <v>73</v>
      </c>
      <c r="B137" s="21" t="s">
        <v>74</v>
      </c>
      <c r="C137" s="21"/>
      <c r="D137" s="26" t="s">
        <v>14</v>
      </c>
      <c r="E137" s="65"/>
      <c r="F137" s="28">
        <f>SUM(F138:F139)-F140</f>
        <v>0</v>
      </c>
      <c r="G137" s="26" t="s">
        <v>14</v>
      </c>
      <c r="H137" s="63"/>
      <c r="I137" s="28">
        <f>SUM(I138:I139)-I140</f>
        <v>0</v>
      </c>
      <c r="J137" s="28"/>
    </row>
    <row r="138" spans="1:11" x14ac:dyDescent="0.2">
      <c r="A138" s="66" t="s">
        <v>4</v>
      </c>
      <c r="B138" s="19"/>
      <c r="C138" s="22" t="s">
        <v>97</v>
      </c>
      <c r="D138" s="26" t="s">
        <v>14</v>
      </c>
      <c r="E138" s="57"/>
      <c r="F138" s="61"/>
      <c r="G138" s="26" t="s">
        <v>14</v>
      </c>
      <c r="H138" s="57"/>
      <c r="I138" s="61"/>
      <c r="J138" s="61"/>
    </row>
    <row r="139" spans="1:11" x14ac:dyDescent="0.2">
      <c r="A139" s="66" t="s">
        <v>5</v>
      </c>
      <c r="B139" s="19"/>
      <c r="C139" s="22" t="s">
        <v>98</v>
      </c>
      <c r="D139" s="26" t="s">
        <v>14</v>
      </c>
      <c r="E139" s="57"/>
      <c r="F139" s="61"/>
      <c r="G139" s="26" t="s">
        <v>14</v>
      </c>
      <c r="H139" s="57"/>
      <c r="I139" s="61"/>
      <c r="J139" s="61"/>
    </row>
    <row r="140" spans="1:11" x14ac:dyDescent="0.2">
      <c r="A140" s="66" t="s">
        <v>115</v>
      </c>
      <c r="B140" s="121"/>
      <c r="C140" s="22" t="s">
        <v>24</v>
      </c>
      <c r="D140" s="26" t="s">
        <v>14</v>
      </c>
      <c r="E140" s="57"/>
      <c r="F140" s="61"/>
      <c r="G140" s="26" t="s">
        <v>14</v>
      </c>
      <c r="H140" s="57"/>
      <c r="I140" s="61"/>
      <c r="J140" s="61"/>
    </row>
    <row r="141" spans="1:11" ht="38.25" x14ac:dyDescent="0.2">
      <c r="A141" s="66" t="s">
        <v>234</v>
      </c>
      <c r="B141" s="19" t="s">
        <v>108</v>
      </c>
      <c r="C141" s="19"/>
      <c r="D141" s="52">
        <f>SUM(D142:D143)-D144</f>
        <v>647</v>
      </c>
      <c r="E141" s="63">
        <f>E142+E143-E144</f>
        <v>11703696</v>
      </c>
      <c r="F141" s="52">
        <f>SUM(F142:F143)-F144</f>
        <v>1305894.6752800001</v>
      </c>
      <c r="G141" s="23">
        <f>SUM(G142:G143)-G144</f>
        <v>2298</v>
      </c>
      <c r="H141" s="131">
        <f>H142+H143-H144</f>
        <v>39486792</v>
      </c>
      <c r="I141" s="52">
        <f>SUM(I142:I143)-I144</f>
        <v>4549885.2517352998</v>
      </c>
      <c r="J141" s="24"/>
    </row>
    <row r="142" spans="1:11" ht="231" x14ac:dyDescent="0.3">
      <c r="A142" s="66" t="s">
        <v>4</v>
      </c>
      <c r="B142" s="19"/>
      <c r="C142" s="22" t="s">
        <v>97</v>
      </c>
      <c r="D142" s="132">
        <f>200+64+73</f>
        <v>337</v>
      </c>
      <c r="E142" s="132">
        <f>5648474+209689+73+235</f>
        <v>5858471</v>
      </c>
      <c r="F142" s="58">
        <f>572021.8958+87249.00606+8308.57181+1421.4598</f>
        <v>669000.93347000005</v>
      </c>
      <c r="G142" s="132">
        <f>87+1+136+83+187+89+208+D142</f>
        <v>1128</v>
      </c>
      <c r="H142" s="132">
        <f>87+100+2224484+27384+83+3940143+40229+89+6177489+8448+5+E142</f>
        <v>18277012</v>
      </c>
      <c r="I142" s="58">
        <f>8510.88098+10000+259991.8602+98318.465+7633.1288+399908.42126+151604.72+11886.5773+633579.94844+33692.666+42.9+F142</f>
        <v>2284170.5014499999</v>
      </c>
      <c r="J142" s="129" t="s">
        <v>856</v>
      </c>
      <c r="K142" s="133"/>
    </row>
    <row r="143" spans="1:11" ht="153" x14ac:dyDescent="0.3">
      <c r="A143" s="66" t="s">
        <v>5</v>
      </c>
      <c r="B143" s="19"/>
      <c r="C143" s="22" t="s">
        <v>98</v>
      </c>
      <c r="D143" s="132">
        <f>227+83</f>
        <v>310</v>
      </c>
      <c r="E143" s="132">
        <f>5845142+83</f>
        <v>5845225</v>
      </c>
      <c r="F143" s="58">
        <f>628100.85+8792.89181</f>
        <v>636893.74180999992</v>
      </c>
      <c r="G143" s="132">
        <f>87+156+85+218+70+244+D143</f>
        <v>1170</v>
      </c>
      <c r="H143" s="132">
        <f>87+3790972+3524+85+4855949+3003+70+6708650+2215+E143</f>
        <v>21209780</v>
      </c>
      <c r="I143" s="58">
        <f>8376.62201+393314.3606273+15808.9217+8697.75388+490958.472678+10805.63+10424.82181+679593.25007+10841.1757+F143</f>
        <v>2265714.7502853</v>
      </c>
      <c r="J143" s="128" t="s">
        <v>830</v>
      </c>
      <c r="K143" s="133"/>
    </row>
    <row r="144" spans="1:11" x14ac:dyDescent="0.2">
      <c r="A144" s="66" t="s">
        <v>115</v>
      </c>
      <c r="B144" s="121"/>
      <c r="C144" s="22" t="s">
        <v>24</v>
      </c>
      <c r="D144" s="58"/>
      <c r="E144" s="132"/>
      <c r="F144" s="58"/>
      <c r="G144" s="58"/>
      <c r="H144" s="58"/>
      <c r="I144" s="58"/>
      <c r="J144" s="61"/>
    </row>
  </sheetData>
  <mergeCells count="28">
    <mergeCell ref="K24:Q26"/>
    <mergeCell ref="J26:J29"/>
    <mergeCell ref="C24:C29"/>
    <mergeCell ref="E19:G19"/>
    <mergeCell ref="A24:A29"/>
    <mergeCell ref="B24:B29"/>
    <mergeCell ref="J24:J25"/>
    <mergeCell ref="C16:E16"/>
    <mergeCell ref="D24:F25"/>
    <mergeCell ref="G24:I25"/>
    <mergeCell ref="D27:D29"/>
    <mergeCell ref="E27:E29"/>
    <mergeCell ref="F26:F29"/>
    <mergeCell ref="D26:E26"/>
    <mergeCell ref="G26:H26"/>
    <mergeCell ref="G27:G29"/>
    <mergeCell ref="H27:H29"/>
    <mergeCell ref="I26:I29"/>
    <mergeCell ref="A17:I17"/>
    <mergeCell ref="A18:I18"/>
    <mergeCell ref="B19:D19"/>
    <mergeCell ref="A21:I21"/>
    <mergeCell ref="A22:I22"/>
    <mergeCell ref="G2:I5"/>
    <mergeCell ref="A14:E14"/>
    <mergeCell ref="A13:E13"/>
    <mergeCell ref="A15:E15"/>
    <mergeCell ref="G9:I14"/>
  </mergeCells>
  <phoneticPr fontId="2" type="noConversion"/>
  <dataValidations count="1">
    <dataValidation type="date" allowBlank="1" showInputMessage="1" showErrorMessage="1" sqref="E19:G19">
      <formula1>43282</formula1>
      <formula2>54789</formula2>
    </dataValidation>
  </dataValidations>
  <hyperlinks>
    <hyperlink ref="C16" r:id="rId1"/>
  </hyperlinks>
  <pageMargins left="0" right="0" top="0.59055118110236227" bottom="0.59055118110236227" header="0.51181102362204722" footer="0.51181102362204722"/>
  <pageSetup paperSize="9" scale="80" orientation="landscape" r:id="rId2"/>
  <headerFooter alignWithMargins="0"/>
  <rowBreaks count="3" manualBreakCount="3">
    <brk id="69" max="9" man="1"/>
    <brk id="93" max="9" man="1"/>
    <brk id="1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"/>
  <sheetViews>
    <sheetView view="pageBreakPreview" zoomScale="110" zoomScaleNormal="100" zoomScaleSheetLayoutView="110" workbookViewId="0">
      <selection activeCell="H14" sqref="H14"/>
    </sheetView>
  </sheetViews>
  <sheetFormatPr defaultRowHeight="12.75" x14ac:dyDescent="0.2"/>
  <cols>
    <col min="1" max="1" width="58.28515625" style="7" customWidth="1"/>
    <col min="2" max="2" width="8.5703125" style="33" customWidth="1"/>
    <col min="3" max="3" width="13" style="33" customWidth="1"/>
    <col min="4" max="4" width="14.7109375" style="33" customWidth="1"/>
    <col min="5" max="16384" width="9.140625" style="7"/>
  </cols>
  <sheetData>
    <row r="1" spans="1:4" ht="21.75" customHeight="1" x14ac:dyDescent="0.2">
      <c r="A1" s="180" t="s">
        <v>27</v>
      </c>
      <c r="B1" s="180"/>
      <c r="C1" s="180"/>
      <c r="D1" s="180"/>
    </row>
    <row r="2" spans="1:4" ht="20.25" customHeight="1" x14ac:dyDescent="0.2">
      <c r="A2" s="180" t="s">
        <v>78</v>
      </c>
      <c r="B2" s="180"/>
      <c r="C2" s="180"/>
      <c r="D2" s="180"/>
    </row>
    <row r="3" spans="1:4" ht="6.75" customHeight="1" x14ac:dyDescent="0.2">
      <c r="A3" s="30"/>
    </row>
    <row r="4" spans="1:4" ht="62.25" customHeight="1" x14ac:dyDescent="0.2">
      <c r="A4" s="17" t="s">
        <v>28</v>
      </c>
      <c r="B4" s="17" t="s">
        <v>41</v>
      </c>
      <c r="C4" s="17" t="s">
        <v>196</v>
      </c>
      <c r="D4" s="17" t="s">
        <v>197</v>
      </c>
    </row>
    <row r="5" spans="1:4" s="32" customFormat="1" ht="15.75" customHeight="1" x14ac:dyDescent="0.2">
      <c r="A5" s="20">
        <v>1</v>
      </c>
      <c r="B5" s="20">
        <v>2</v>
      </c>
      <c r="C5" s="20">
        <v>3</v>
      </c>
      <c r="D5" s="20">
        <v>4</v>
      </c>
    </row>
    <row r="6" spans="1:4" ht="15.75" customHeight="1" x14ac:dyDescent="0.2">
      <c r="A6" s="18" t="s">
        <v>163</v>
      </c>
      <c r="B6" s="22" t="s">
        <v>53</v>
      </c>
      <c r="C6" s="31">
        <f>SUM(C7:C14)</f>
        <v>441.97200000000004</v>
      </c>
      <c r="D6" s="31">
        <f>SUM(D7:D14)</f>
        <v>1216.7180000000001</v>
      </c>
    </row>
    <row r="7" spans="1:4" ht="15.75" customHeight="1" x14ac:dyDescent="0.2">
      <c r="A7" s="18" t="s">
        <v>107</v>
      </c>
      <c r="B7" s="22" t="s">
        <v>54</v>
      </c>
      <c r="C7" s="67">
        <v>0.57899999999999996</v>
      </c>
      <c r="D7" s="67">
        <f>6.42+C7</f>
        <v>6.9989999999999997</v>
      </c>
    </row>
    <row r="8" spans="1:4" ht="15.75" customHeight="1" x14ac:dyDescent="0.2">
      <c r="A8" s="18" t="s">
        <v>29</v>
      </c>
      <c r="B8" s="22" t="s">
        <v>55</v>
      </c>
      <c r="C8" s="67">
        <f>0.22+7.833+0.047+97.626+246.914</f>
        <v>352.64</v>
      </c>
      <c r="D8" s="67">
        <f>202.074+C8+254.76+45.25</f>
        <v>854.72399999999993</v>
      </c>
    </row>
    <row r="9" spans="1:4" ht="15.75" customHeight="1" x14ac:dyDescent="0.2">
      <c r="A9" s="18" t="s">
        <v>30</v>
      </c>
      <c r="B9" s="22" t="s">
        <v>56</v>
      </c>
      <c r="C9" s="67">
        <v>58.42</v>
      </c>
      <c r="D9" s="67">
        <f>69.78+61.71+60.14+C9</f>
        <v>250.05</v>
      </c>
    </row>
    <row r="10" spans="1:4" ht="15.75" customHeight="1" x14ac:dyDescent="0.2">
      <c r="A10" s="18" t="s">
        <v>31</v>
      </c>
      <c r="B10" s="22" t="s">
        <v>57</v>
      </c>
      <c r="C10" s="67">
        <v>0.189</v>
      </c>
      <c r="D10" s="67">
        <f>0.04+C10+0.122</f>
        <v>0.35099999999999998</v>
      </c>
    </row>
    <row r="11" spans="1:4" ht="15.75" customHeight="1" x14ac:dyDescent="0.2">
      <c r="A11" s="18" t="s">
        <v>32</v>
      </c>
      <c r="B11" s="22" t="s">
        <v>58</v>
      </c>
      <c r="C11" s="67"/>
      <c r="D11" s="67"/>
    </row>
    <row r="12" spans="1:4" ht="15.75" customHeight="1" x14ac:dyDescent="0.2">
      <c r="A12" s="18" t="s">
        <v>33</v>
      </c>
      <c r="B12" s="22" t="s">
        <v>59</v>
      </c>
      <c r="C12" s="67"/>
      <c r="D12" s="67"/>
    </row>
    <row r="13" spans="1:4" ht="15.75" customHeight="1" x14ac:dyDescent="0.2">
      <c r="A13" s="18" t="s">
        <v>34</v>
      </c>
      <c r="B13" s="22" t="s">
        <v>60</v>
      </c>
      <c r="C13" s="67">
        <f>24.36+2.98+2.804</f>
        <v>30.143999999999998</v>
      </c>
      <c r="D13" s="67">
        <f>13.57+25.03+35.85+C13</f>
        <v>104.59399999999999</v>
      </c>
    </row>
    <row r="14" spans="1:4" ht="15.75" customHeight="1" x14ac:dyDescent="0.2">
      <c r="A14" s="18" t="s">
        <v>202</v>
      </c>
      <c r="B14" s="22" t="s">
        <v>61</v>
      </c>
      <c r="C14" s="67"/>
      <c r="D14" s="67"/>
    </row>
  </sheetData>
  <mergeCells count="2">
    <mergeCell ref="A1:D1"/>
    <mergeCell ref="A2:D2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2"/>
  <sheetViews>
    <sheetView view="pageBreakPreview" topLeftCell="A70" zoomScale="110" zoomScaleNormal="100" zoomScaleSheetLayoutView="110" workbookViewId="0">
      <selection activeCell="F82" sqref="F82"/>
    </sheetView>
  </sheetViews>
  <sheetFormatPr defaultRowHeight="12.75" x14ac:dyDescent="0.2"/>
  <cols>
    <col min="1" max="1" width="34.7109375" style="7" customWidth="1"/>
    <col min="2" max="2" width="7.140625" style="33" customWidth="1"/>
    <col min="3" max="3" width="15" style="7" customWidth="1"/>
    <col min="4" max="4" width="12.42578125" style="7" customWidth="1"/>
    <col min="5" max="5" width="12" style="7" customWidth="1"/>
    <col min="6" max="6" width="18.85546875" style="7" customWidth="1"/>
    <col min="7" max="7" width="25.85546875" style="7" customWidth="1"/>
    <col min="8" max="16384" width="9.140625" style="7"/>
  </cols>
  <sheetData>
    <row r="1" spans="1:7" ht="21" customHeight="1" x14ac:dyDescent="0.2">
      <c r="A1" s="180" t="s">
        <v>35</v>
      </c>
      <c r="B1" s="180"/>
      <c r="C1" s="180"/>
      <c r="D1" s="180"/>
      <c r="E1" s="180"/>
      <c r="F1" s="180"/>
      <c r="G1" s="180"/>
    </row>
    <row r="2" spans="1:7" ht="40.5" customHeight="1" x14ac:dyDescent="0.2">
      <c r="A2" s="190" t="s">
        <v>133</v>
      </c>
      <c r="B2" s="190"/>
      <c r="C2" s="190"/>
      <c r="D2" s="190"/>
      <c r="E2" s="190"/>
      <c r="F2" s="190"/>
      <c r="G2" s="190"/>
    </row>
    <row r="3" spans="1:7" ht="3.75" customHeight="1" x14ac:dyDescent="0.2"/>
    <row r="4" spans="1:7" ht="36.75" customHeight="1" x14ac:dyDescent="0.2">
      <c r="A4" s="169" t="s">
        <v>0</v>
      </c>
      <c r="B4" s="169" t="s">
        <v>41</v>
      </c>
      <c r="C4" s="169" t="s">
        <v>203</v>
      </c>
      <c r="D4" s="169"/>
      <c r="E4" s="192" t="s">
        <v>204</v>
      </c>
      <c r="F4" s="193"/>
      <c r="G4" s="169" t="s">
        <v>2</v>
      </c>
    </row>
    <row r="5" spans="1:7" x14ac:dyDescent="0.2">
      <c r="A5" s="169"/>
      <c r="B5" s="170"/>
      <c r="C5" s="169" t="s">
        <v>100</v>
      </c>
      <c r="D5" s="169" t="s">
        <v>198</v>
      </c>
      <c r="E5" s="169" t="s">
        <v>100</v>
      </c>
      <c r="F5" s="169" t="s">
        <v>198</v>
      </c>
      <c r="G5" s="191"/>
    </row>
    <row r="6" spans="1:7" x14ac:dyDescent="0.2">
      <c r="A6" s="169"/>
      <c r="B6" s="170"/>
      <c r="C6" s="170"/>
      <c r="D6" s="170"/>
      <c r="E6" s="170"/>
      <c r="F6" s="170"/>
      <c r="G6" s="191"/>
    </row>
    <row r="7" spans="1:7" ht="22.5" customHeight="1" x14ac:dyDescent="0.2">
      <c r="A7" s="169"/>
      <c r="B7" s="170"/>
      <c r="C7" s="170"/>
      <c r="D7" s="170"/>
      <c r="E7" s="170"/>
      <c r="F7" s="170"/>
      <c r="G7" s="191"/>
    </row>
    <row r="8" spans="1:7" x14ac:dyDescent="0.2">
      <c r="A8" s="35">
        <v>1</v>
      </c>
      <c r="B8" s="17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</row>
    <row r="9" spans="1:7" ht="25.5" x14ac:dyDescent="0.2">
      <c r="A9" s="18" t="s">
        <v>134</v>
      </c>
      <c r="B9" s="22" t="s">
        <v>62</v>
      </c>
      <c r="C9" s="20"/>
      <c r="D9" s="34"/>
      <c r="E9" s="20" t="s">
        <v>138</v>
      </c>
      <c r="F9" s="34" t="s">
        <v>138</v>
      </c>
      <c r="G9" s="20"/>
    </row>
    <row r="10" spans="1:7" x14ac:dyDescent="0.2">
      <c r="A10" s="136" t="s">
        <v>36</v>
      </c>
      <c r="B10" s="22" t="s">
        <v>63</v>
      </c>
      <c r="C10" s="113">
        <f>C11</f>
        <v>116812711</v>
      </c>
      <c r="D10" s="67">
        <f>D11</f>
        <v>159061.1832</v>
      </c>
      <c r="E10" s="68"/>
      <c r="F10" s="67"/>
      <c r="G10" s="68"/>
    </row>
    <row r="11" spans="1:7" x14ac:dyDescent="0.2">
      <c r="A11" s="136" t="s">
        <v>79</v>
      </c>
      <c r="B11" s="22" t="s">
        <v>135</v>
      </c>
      <c r="C11" s="113">
        <f>SUM(C12:C27)</f>
        <v>116812711</v>
      </c>
      <c r="D11" s="67">
        <f>SUM(D12:D27)</f>
        <v>159061.1832</v>
      </c>
      <c r="E11" s="68"/>
      <c r="F11" s="67"/>
      <c r="G11" s="68"/>
    </row>
    <row r="12" spans="1:7" x14ac:dyDescent="0.2">
      <c r="A12" s="137" t="s">
        <v>778</v>
      </c>
      <c r="B12" s="116"/>
      <c r="C12" s="113">
        <v>339995</v>
      </c>
      <c r="D12" s="67">
        <f>33999.5/1000</f>
        <v>33.999499999999998</v>
      </c>
      <c r="E12" s="68"/>
      <c r="F12" s="67"/>
      <c r="G12" s="117"/>
    </row>
    <row r="13" spans="1:7" x14ac:dyDescent="0.2">
      <c r="A13" s="137" t="s">
        <v>779</v>
      </c>
      <c r="B13" s="116"/>
      <c r="C13" s="113">
        <v>10664</v>
      </c>
      <c r="D13" s="67">
        <f>112505.2/1000</f>
        <v>112.5052</v>
      </c>
      <c r="E13" s="68"/>
      <c r="F13" s="67"/>
      <c r="G13" s="117"/>
    </row>
    <row r="14" spans="1:7" ht="25.5" x14ac:dyDescent="0.2">
      <c r="A14" s="137" t="s">
        <v>780</v>
      </c>
      <c r="B14" s="116"/>
      <c r="C14" s="113">
        <v>1</v>
      </c>
      <c r="D14" s="67">
        <f>0.35/1000</f>
        <v>3.5E-4</v>
      </c>
      <c r="E14" s="68"/>
      <c r="F14" s="67"/>
      <c r="G14" s="117"/>
    </row>
    <row r="15" spans="1:7" x14ac:dyDescent="0.2">
      <c r="A15" s="137" t="s">
        <v>781</v>
      </c>
      <c r="B15" s="116"/>
      <c r="C15" s="113">
        <v>692</v>
      </c>
      <c r="D15" s="67">
        <f>885.76/1000</f>
        <v>0.88575999999999999</v>
      </c>
      <c r="E15" s="68"/>
      <c r="F15" s="67"/>
      <c r="G15" s="117"/>
    </row>
    <row r="16" spans="1:7" ht="25.5" x14ac:dyDescent="0.2">
      <c r="A16" s="137" t="s">
        <v>782</v>
      </c>
      <c r="B16" s="116"/>
      <c r="C16" s="113">
        <v>20</v>
      </c>
      <c r="D16" s="67">
        <f>520000/1000</f>
        <v>520</v>
      </c>
      <c r="E16" s="68"/>
      <c r="F16" s="67"/>
      <c r="G16" s="117"/>
    </row>
    <row r="17" spans="1:7" x14ac:dyDescent="0.2">
      <c r="A17" s="137" t="s">
        <v>777</v>
      </c>
      <c r="B17" s="116"/>
      <c r="C17" s="113">
        <v>1385</v>
      </c>
      <c r="D17" s="67">
        <f>25487042/1000</f>
        <v>25487.042000000001</v>
      </c>
      <c r="E17" s="68"/>
      <c r="F17" s="67"/>
      <c r="G17" s="117"/>
    </row>
    <row r="18" spans="1:7" x14ac:dyDescent="0.2">
      <c r="A18" s="137" t="s">
        <v>783</v>
      </c>
      <c r="B18" s="116"/>
      <c r="C18" s="113">
        <v>40000</v>
      </c>
      <c r="D18" s="67">
        <f>8800/1000</f>
        <v>8.8000000000000007</v>
      </c>
      <c r="E18" s="68"/>
      <c r="F18" s="67"/>
      <c r="G18" s="117"/>
    </row>
    <row r="19" spans="1:7" x14ac:dyDescent="0.2">
      <c r="A19" s="137" t="s">
        <v>784</v>
      </c>
      <c r="B19" s="116"/>
      <c r="C19" s="113">
        <v>5</v>
      </c>
      <c r="D19" s="67">
        <v>7.2467800000000002</v>
      </c>
      <c r="E19" s="68"/>
      <c r="F19" s="67"/>
      <c r="G19" s="117"/>
    </row>
    <row r="20" spans="1:7" x14ac:dyDescent="0.2">
      <c r="A20" s="137" t="s">
        <v>785</v>
      </c>
      <c r="B20" s="116"/>
      <c r="C20" s="113">
        <f>105002589+5432112</f>
        <v>110434701</v>
      </c>
      <c r="D20" s="67">
        <f>58530391.53/1000</f>
        <v>58530.391530000001</v>
      </c>
      <c r="E20" s="68"/>
      <c r="F20" s="67"/>
      <c r="G20" s="117"/>
    </row>
    <row r="21" spans="1:7" x14ac:dyDescent="0.2">
      <c r="A21" s="137" t="s">
        <v>786</v>
      </c>
      <c r="B21" s="116"/>
      <c r="C21" s="113">
        <v>3398378</v>
      </c>
      <c r="D21" s="67">
        <f>30109629.08/1000</f>
        <v>30109.629079999999</v>
      </c>
      <c r="E21" s="68"/>
      <c r="F21" s="67"/>
      <c r="G21" s="117"/>
    </row>
    <row r="22" spans="1:7" x14ac:dyDescent="0.2">
      <c r="A22" s="137" t="s">
        <v>787</v>
      </c>
      <c r="B22" s="116"/>
      <c r="C22" s="113">
        <v>190</v>
      </c>
      <c r="D22" s="67">
        <f>57000/1000</f>
        <v>57</v>
      </c>
      <c r="E22" s="68"/>
      <c r="F22" s="67"/>
      <c r="G22" s="117"/>
    </row>
    <row r="23" spans="1:7" ht="25.5" x14ac:dyDescent="0.2">
      <c r="A23" s="137" t="s">
        <v>788</v>
      </c>
      <c r="B23" s="116"/>
      <c r="C23" s="113">
        <v>1616</v>
      </c>
      <c r="D23" s="67">
        <f>1960208/1000</f>
        <v>1960.2080000000001</v>
      </c>
      <c r="E23" s="68"/>
      <c r="F23" s="67"/>
      <c r="G23" s="117"/>
    </row>
    <row r="24" spans="1:7" x14ac:dyDescent="0.2">
      <c r="A24" s="137" t="s">
        <v>789</v>
      </c>
      <c r="B24" s="116"/>
      <c r="C24" s="113">
        <v>143493</v>
      </c>
      <c r="D24" s="67">
        <f>14349300/1000</f>
        <v>14349.3</v>
      </c>
      <c r="E24" s="68"/>
      <c r="F24" s="67"/>
      <c r="G24" s="117"/>
    </row>
    <row r="25" spans="1:7" ht="28.5" customHeight="1" x14ac:dyDescent="0.2">
      <c r="A25" s="137" t="s">
        <v>790</v>
      </c>
      <c r="B25" s="116"/>
      <c r="C25" s="113">
        <v>84681</v>
      </c>
      <c r="D25" s="67">
        <f>8468100/1000</f>
        <v>8468.1</v>
      </c>
      <c r="E25" s="68"/>
      <c r="F25" s="67"/>
      <c r="G25" s="117"/>
    </row>
    <row r="26" spans="1:7" x14ac:dyDescent="0.2">
      <c r="A26" s="137" t="s">
        <v>834</v>
      </c>
      <c r="B26" s="116"/>
      <c r="C26" s="113">
        <v>172315</v>
      </c>
      <c r="D26" s="67">
        <v>17231.5</v>
      </c>
      <c r="E26" s="68"/>
      <c r="F26" s="67"/>
      <c r="G26" s="117"/>
    </row>
    <row r="27" spans="1:7" x14ac:dyDescent="0.2">
      <c r="A27" s="137" t="s">
        <v>833</v>
      </c>
      <c r="B27" s="116"/>
      <c r="C27" s="113">
        <v>2184575</v>
      </c>
      <c r="D27" s="67">
        <v>2184.5749999999998</v>
      </c>
      <c r="E27" s="68"/>
      <c r="F27" s="67"/>
      <c r="G27" s="117"/>
    </row>
    <row r="28" spans="1:7" ht="51" x14ac:dyDescent="0.2">
      <c r="A28" s="136" t="s">
        <v>124</v>
      </c>
      <c r="B28" s="22" t="s">
        <v>136</v>
      </c>
      <c r="C28" s="68"/>
      <c r="D28" s="67"/>
      <c r="E28" s="68"/>
      <c r="F28" s="67"/>
      <c r="G28" s="68"/>
    </row>
    <row r="29" spans="1:7" ht="38.25" x14ac:dyDescent="0.2">
      <c r="A29" s="18" t="s">
        <v>123</v>
      </c>
      <c r="B29" s="22" t="s">
        <v>137</v>
      </c>
      <c r="C29" s="68"/>
      <c r="D29" s="67"/>
      <c r="E29" s="68"/>
      <c r="F29" s="67"/>
      <c r="G29" s="68"/>
    </row>
    <row r="30" spans="1:7" ht="57.75" customHeight="1" x14ac:dyDescent="0.2">
      <c r="A30" s="18" t="s">
        <v>119</v>
      </c>
      <c r="B30" s="22" t="s">
        <v>120</v>
      </c>
      <c r="C30" s="68">
        <f>SUM(C32:C36)</f>
        <v>449</v>
      </c>
      <c r="D30" s="67">
        <f>SUM(D32:D36)</f>
        <v>59.093000000000004</v>
      </c>
      <c r="E30" s="68"/>
      <c r="F30" s="67"/>
      <c r="G30" s="127" t="s">
        <v>793</v>
      </c>
    </row>
    <row r="31" spans="1:7" x14ac:dyDescent="0.2">
      <c r="A31" s="18" t="s">
        <v>79</v>
      </c>
      <c r="B31" s="22"/>
      <c r="C31" s="68"/>
      <c r="D31" s="67"/>
      <c r="E31" s="68"/>
      <c r="F31" s="67"/>
      <c r="G31" s="68"/>
    </row>
    <row r="32" spans="1:7" x14ac:dyDescent="0.2">
      <c r="A32" s="18" t="s">
        <v>794</v>
      </c>
      <c r="B32" s="22"/>
      <c r="C32" s="68">
        <v>68</v>
      </c>
      <c r="D32" s="67">
        <v>6.46</v>
      </c>
      <c r="E32" s="68"/>
      <c r="F32" s="67"/>
      <c r="G32" s="68"/>
    </row>
    <row r="33" spans="1:7" x14ac:dyDescent="0.2">
      <c r="A33" s="18" t="s">
        <v>795</v>
      </c>
      <c r="B33" s="22"/>
      <c r="C33" s="68">
        <v>24</v>
      </c>
      <c r="D33" s="67">
        <v>6.05</v>
      </c>
      <c r="E33" s="68"/>
      <c r="F33" s="67"/>
      <c r="G33" s="68"/>
    </row>
    <row r="34" spans="1:7" ht="25.5" x14ac:dyDescent="0.2">
      <c r="A34" s="18" t="s">
        <v>796</v>
      </c>
      <c r="B34" s="22"/>
      <c r="C34" s="68">
        <v>23</v>
      </c>
      <c r="D34" s="67">
        <v>10.301</v>
      </c>
      <c r="E34" s="68"/>
      <c r="F34" s="67"/>
      <c r="G34" s="68"/>
    </row>
    <row r="35" spans="1:7" x14ac:dyDescent="0.2">
      <c r="A35" s="18" t="s">
        <v>853</v>
      </c>
      <c r="B35" s="22"/>
      <c r="C35" s="68">
        <v>127</v>
      </c>
      <c r="D35" s="67">
        <v>18.562000000000001</v>
      </c>
      <c r="E35" s="68"/>
      <c r="F35" s="67"/>
      <c r="G35" s="68"/>
    </row>
    <row r="36" spans="1:7" x14ac:dyDescent="0.2">
      <c r="A36" s="18" t="s">
        <v>854</v>
      </c>
      <c r="B36" s="22"/>
      <c r="C36" s="68">
        <v>207</v>
      </c>
      <c r="D36" s="67">
        <v>17.72</v>
      </c>
      <c r="E36" s="68"/>
      <c r="F36" s="67"/>
      <c r="G36" s="68"/>
    </row>
    <row r="37" spans="1:7" x14ac:dyDescent="0.2">
      <c r="A37" s="18" t="s">
        <v>37</v>
      </c>
      <c r="B37" s="22" t="s">
        <v>64</v>
      </c>
      <c r="C37" s="113">
        <f>SUM(C39:C72)</f>
        <v>37690215</v>
      </c>
      <c r="D37" s="67">
        <f>SUM(D39:D72)</f>
        <v>3034542.5435800003</v>
      </c>
      <c r="E37" s="68"/>
      <c r="F37" s="67"/>
      <c r="G37" s="68"/>
    </row>
    <row r="38" spans="1:7" x14ac:dyDescent="0.2">
      <c r="A38" s="18" t="s">
        <v>79</v>
      </c>
      <c r="B38" s="22"/>
      <c r="C38" s="113"/>
      <c r="D38" s="67"/>
      <c r="E38" s="68"/>
      <c r="F38" s="67"/>
      <c r="G38" s="68"/>
    </row>
    <row r="39" spans="1:7" ht="25.5" x14ac:dyDescent="0.2">
      <c r="A39" s="18" t="s">
        <v>748</v>
      </c>
      <c r="B39" s="22"/>
      <c r="C39" s="113">
        <f>671822</f>
        <v>671822</v>
      </c>
      <c r="D39" s="67">
        <f>1050745318.88/1000</f>
        <v>1050745.3188799999</v>
      </c>
      <c r="E39" s="68"/>
      <c r="F39" s="67"/>
      <c r="G39" s="127"/>
    </row>
    <row r="40" spans="1:7" ht="25.5" x14ac:dyDescent="0.2">
      <c r="A40" s="18" t="s">
        <v>749</v>
      </c>
      <c r="B40" s="22"/>
      <c r="C40" s="113"/>
      <c r="D40" s="67"/>
      <c r="E40" s="68"/>
      <c r="F40" s="67"/>
      <c r="G40" s="68"/>
    </row>
    <row r="41" spans="1:7" ht="25.5" x14ac:dyDescent="0.2">
      <c r="A41" s="18" t="s">
        <v>835</v>
      </c>
      <c r="B41" s="22"/>
      <c r="C41" s="113">
        <v>299641</v>
      </c>
      <c r="D41" s="67">
        <f>11437180.67/1000</f>
        <v>11437.18067</v>
      </c>
      <c r="E41" s="68"/>
      <c r="F41" s="67"/>
      <c r="G41" s="68"/>
    </row>
    <row r="42" spans="1:7" ht="25.5" x14ac:dyDescent="0.2">
      <c r="A42" s="18" t="s">
        <v>750</v>
      </c>
      <c r="B42" s="114"/>
      <c r="C42" s="113">
        <v>202709</v>
      </c>
      <c r="D42" s="67">
        <v>20270.900000000001</v>
      </c>
      <c r="E42" s="68"/>
      <c r="F42" s="67"/>
      <c r="G42" s="68"/>
    </row>
    <row r="43" spans="1:7" ht="25.5" x14ac:dyDescent="0.2">
      <c r="A43" s="18" t="s">
        <v>751</v>
      </c>
      <c r="B43" s="114"/>
      <c r="C43" s="113">
        <v>910890</v>
      </c>
      <c r="D43" s="67">
        <f>370843653.6/1000</f>
        <v>370843.65360000002</v>
      </c>
      <c r="E43" s="68"/>
      <c r="F43" s="67"/>
      <c r="G43" s="68"/>
    </row>
    <row r="44" spans="1:7" ht="25.5" x14ac:dyDescent="0.2">
      <c r="A44" s="18" t="s">
        <v>752</v>
      </c>
      <c r="B44" s="114"/>
      <c r="C44" s="113">
        <f>20845</f>
        <v>20845</v>
      </c>
      <c r="D44" s="67">
        <f>2084500/1000</f>
        <v>2084.5</v>
      </c>
      <c r="E44" s="68"/>
      <c r="F44" s="67"/>
      <c r="G44" s="68"/>
    </row>
    <row r="45" spans="1:7" ht="25.5" x14ac:dyDescent="0.2">
      <c r="A45" s="18" t="s">
        <v>753</v>
      </c>
      <c r="B45" s="114"/>
      <c r="C45" s="113">
        <f>5811</f>
        <v>5811</v>
      </c>
      <c r="D45" s="67">
        <f>581100/1000</f>
        <v>581.1</v>
      </c>
      <c r="E45" s="68"/>
      <c r="F45" s="67"/>
      <c r="G45" s="68"/>
    </row>
    <row r="46" spans="1:7" ht="25.5" x14ac:dyDescent="0.2">
      <c r="A46" s="18" t="s">
        <v>754</v>
      </c>
      <c r="B46" s="114"/>
      <c r="C46" s="113">
        <v>14999</v>
      </c>
      <c r="D46" s="67">
        <f>1499900/1000</f>
        <v>1499.9</v>
      </c>
      <c r="E46" s="68"/>
      <c r="F46" s="67"/>
      <c r="G46" s="68"/>
    </row>
    <row r="47" spans="1:7" ht="25.5" x14ac:dyDescent="0.2">
      <c r="A47" s="18" t="s">
        <v>755</v>
      </c>
      <c r="B47" s="114"/>
      <c r="C47" s="113">
        <v>18400</v>
      </c>
      <c r="D47" s="67">
        <f>1840000/1000</f>
        <v>1840</v>
      </c>
      <c r="E47" s="68"/>
      <c r="F47" s="67"/>
      <c r="G47" s="68"/>
    </row>
    <row r="48" spans="1:7" ht="25.5" x14ac:dyDescent="0.2">
      <c r="A48" s="18" t="s">
        <v>756</v>
      </c>
      <c r="B48" s="114"/>
      <c r="C48" s="113">
        <v>4148</v>
      </c>
      <c r="D48" s="67">
        <f>414800/1000</f>
        <v>414.8</v>
      </c>
      <c r="E48" s="68"/>
      <c r="F48" s="67"/>
      <c r="G48" s="68"/>
    </row>
    <row r="49" spans="1:7" ht="25.5" x14ac:dyDescent="0.2">
      <c r="A49" s="18" t="s">
        <v>757</v>
      </c>
      <c r="B49" s="114"/>
      <c r="C49" s="113">
        <v>1755</v>
      </c>
      <c r="D49" s="67">
        <f>175500/1000</f>
        <v>175.5</v>
      </c>
      <c r="E49" s="68"/>
      <c r="F49" s="67"/>
      <c r="G49" s="68"/>
    </row>
    <row r="50" spans="1:7" ht="25.5" x14ac:dyDescent="0.2">
      <c r="A50" s="18" t="s">
        <v>758</v>
      </c>
      <c r="B50" s="114"/>
      <c r="C50" s="113">
        <v>9416</v>
      </c>
      <c r="D50" s="67">
        <f>941600/1000</f>
        <v>941.6</v>
      </c>
      <c r="E50" s="68"/>
      <c r="F50" s="67"/>
      <c r="G50" s="68"/>
    </row>
    <row r="51" spans="1:7" ht="25.5" x14ac:dyDescent="0.2">
      <c r="A51" s="18" t="s">
        <v>759</v>
      </c>
      <c r="B51" s="114"/>
      <c r="C51" s="113">
        <v>2219</v>
      </c>
      <c r="D51" s="67">
        <f>221900/1000</f>
        <v>221.9</v>
      </c>
      <c r="E51" s="68"/>
      <c r="F51" s="67"/>
      <c r="G51" s="68"/>
    </row>
    <row r="52" spans="1:7" ht="25.5" x14ac:dyDescent="0.2">
      <c r="A52" s="18" t="s">
        <v>760</v>
      </c>
      <c r="B52" s="114"/>
      <c r="C52" s="113">
        <v>4358</v>
      </c>
      <c r="D52" s="67">
        <f>435800/1000</f>
        <v>435.8</v>
      </c>
      <c r="E52" s="68"/>
      <c r="F52" s="67"/>
      <c r="G52" s="68"/>
    </row>
    <row r="53" spans="1:7" ht="25.5" x14ac:dyDescent="0.2">
      <c r="A53" s="18" t="s">
        <v>761</v>
      </c>
      <c r="B53" s="114"/>
      <c r="C53" s="113">
        <v>4286</v>
      </c>
      <c r="D53" s="67">
        <f>428600/1000</f>
        <v>428.6</v>
      </c>
      <c r="E53" s="68"/>
      <c r="F53" s="67"/>
      <c r="G53" s="68"/>
    </row>
    <row r="54" spans="1:7" ht="25.5" x14ac:dyDescent="0.2">
      <c r="A54" s="18" t="s">
        <v>762</v>
      </c>
      <c r="B54" s="114"/>
      <c r="C54" s="113">
        <v>3251</v>
      </c>
      <c r="D54" s="67">
        <f>325100/1000</f>
        <v>325.10000000000002</v>
      </c>
      <c r="E54" s="68"/>
      <c r="F54" s="67"/>
      <c r="G54" s="68"/>
    </row>
    <row r="55" spans="1:7" ht="25.5" x14ac:dyDescent="0.2">
      <c r="A55" s="18" t="s">
        <v>763</v>
      </c>
      <c r="B55" s="114"/>
      <c r="C55" s="113">
        <v>2625</v>
      </c>
      <c r="D55" s="67">
        <f>262500/1000</f>
        <v>262.5</v>
      </c>
      <c r="E55" s="68"/>
      <c r="F55" s="67"/>
      <c r="G55" s="68"/>
    </row>
    <row r="56" spans="1:7" ht="25.5" x14ac:dyDescent="0.2">
      <c r="A56" s="18" t="s">
        <v>764</v>
      </c>
      <c r="B56" s="114"/>
      <c r="C56" s="113">
        <v>5451</v>
      </c>
      <c r="D56" s="67">
        <f>545100/1000</f>
        <v>545.1</v>
      </c>
      <c r="E56" s="113"/>
      <c r="F56" s="67"/>
      <c r="G56" s="68"/>
    </row>
    <row r="57" spans="1:7" ht="25.5" x14ac:dyDescent="0.2">
      <c r="A57" s="18" t="s">
        <v>765</v>
      </c>
      <c r="B57" s="114"/>
      <c r="C57" s="113">
        <v>36321</v>
      </c>
      <c r="D57" s="67">
        <f>3632100/1000</f>
        <v>3632.1</v>
      </c>
      <c r="E57" s="68"/>
      <c r="F57" s="67"/>
      <c r="G57" s="68"/>
    </row>
    <row r="58" spans="1:7" ht="25.5" x14ac:dyDescent="0.2">
      <c r="A58" s="18" t="s">
        <v>766</v>
      </c>
      <c r="B58" s="114"/>
      <c r="C58" s="113">
        <v>2765766</v>
      </c>
      <c r="D58" s="67">
        <f>386414266.12/1000</f>
        <v>386414.26611999999</v>
      </c>
      <c r="E58" s="113"/>
      <c r="F58" s="67"/>
      <c r="G58" s="68"/>
    </row>
    <row r="59" spans="1:7" ht="25.5" x14ac:dyDescent="0.2">
      <c r="A59" s="18" t="s">
        <v>767</v>
      </c>
      <c r="B59" s="114"/>
      <c r="C59" s="113">
        <v>2179339</v>
      </c>
      <c r="D59" s="67">
        <f>401061973.2/1000</f>
        <v>401061.97320000001</v>
      </c>
      <c r="E59" s="68"/>
      <c r="F59" s="67"/>
      <c r="G59" s="68"/>
    </row>
    <row r="60" spans="1:7" ht="25.5" x14ac:dyDescent="0.2">
      <c r="A60" s="18" t="s">
        <v>768</v>
      </c>
      <c r="B60" s="114"/>
      <c r="C60" s="113">
        <v>1836115</v>
      </c>
      <c r="D60" s="67">
        <f>186898229.34/1000</f>
        <v>186898.22933999999</v>
      </c>
      <c r="E60" s="68"/>
      <c r="F60" s="67"/>
      <c r="G60" s="68"/>
    </row>
    <row r="61" spans="1:7" ht="25.5" x14ac:dyDescent="0.2">
      <c r="A61" s="18" t="s">
        <v>769</v>
      </c>
      <c r="B61" s="114"/>
      <c r="C61" s="113">
        <v>170185</v>
      </c>
      <c r="D61" s="67">
        <f>17018500/1000</f>
        <v>17018.5</v>
      </c>
      <c r="E61" s="68"/>
      <c r="F61" s="67"/>
      <c r="G61" s="68"/>
    </row>
    <row r="62" spans="1:7" ht="25.5" x14ac:dyDescent="0.2">
      <c r="A62" s="18" t="s">
        <v>770</v>
      </c>
      <c r="B62" s="114"/>
      <c r="C62" s="113">
        <v>90000</v>
      </c>
      <c r="D62" s="67">
        <f>9000000/1000</f>
        <v>9000</v>
      </c>
      <c r="E62" s="68"/>
      <c r="F62" s="67"/>
      <c r="G62" s="68"/>
    </row>
    <row r="63" spans="1:7" ht="25.5" x14ac:dyDescent="0.2">
      <c r="A63" s="18" t="s">
        <v>771</v>
      </c>
      <c r="B63" s="114"/>
      <c r="C63" s="113">
        <v>27856693</v>
      </c>
      <c r="D63" s="67">
        <v>201650.38334</v>
      </c>
      <c r="E63" s="68"/>
      <c r="F63" s="67"/>
      <c r="G63" s="68"/>
    </row>
    <row r="64" spans="1:7" ht="25.5" x14ac:dyDescent="0.2">
      <c r="A64" s="18" t="s">
        <v>772</v>
      </c>
      <c r="B64" s="114"/>
      <c r="C64" s="113">
        <v>62800</v>
      </c>
      <c r="D64" s="67">
        <v>6280</v>
      </c>
      <c r="E64" s="68"/>
      <c r="F64" s="67"/>
      <c r="G64" s="68"/>
    </row>
    <row r="65" spans="1:7" ht="38.25" x14ac:dyDescent="0.2">
      <c r="A65" s="18" t="s">
        <v>773</v>
      </c>
      <c r="B65" s="114"/>
      <c r="C65" s="113">
        <v>173762</v>
      </c>
      <c r="D65" s="67">
        <v>59646.462</v>
      </c>
      <c r="E65" s="68"/>
      <c r="F65" s="67"/>
      <c r="G65" s="127" t="s">
        <v>832</v>
      </c>
    </row>
    <row r="66" spans="1:7" ht="63.75" customHeight="1" x14ac:dyDescent="0.2">
      <c r="A66" s="18" t="s">
        <v>774</v>
      </c>
      <c r="B66" s="114"/>
      <c r="C66" s="113">
        <v>60000</v>
      </c>
      <c r="D66" s="67">
        <v>126216</v>
      </c>
      <c r="E66" s="68"/>
      <c r="F66" s="67"/>
      <c r="G66" s="68"/>
    </row>
    <row r="67" spans="1:7" ht="63.75" x14ac:dyDescent="0.2">
      <c r="A67" s="18" t="s">
        <v>775</v>
      </c>
      <c r="B67" s="114"/>
      <c r="C67" s="113">
        <v>26050</v>
      </c>
      <c r="D67" s="67">
        <v>0</v>
      </c>
      <c r="E67" s="68"/>
      <c r="F67" s="67"/>
      <c r="G67" s="127" t="s">
        <v>797</v>
      </c>
    </row>
    <row r="68" spans="1:7" x14ac:dyDescent="0.2">
      <c r="A68" s="18" t="s">
        <v>824</v>
      </c>
      <c r="B68" s="114"/>
      <c r="C68" s="113">
        <v>99433</v>
      </c>
      <c r="D68" s="67">
        <f>9943300/1000</f>
        <v>9943.2999999999993</v>
      </c>
      <c r="E68" s="68"/>
      <c r="F68" s="67"/>
      <c r="G68" s="127"/>
    </row>
    <row r="69" spans="1:7" x14ac:dyDescent="0.2">
      <c r="A69" s="18" t="s">
        <v>777</v>
      </c>
      <c r="B69" s="114"/>
      <c r="C69" s="113">
        <v>141200</v>
      </c>
      <c r="D69" s="135">
        <v>14120</v>
      </c>
      <c r="E69" s="68"/>
      <c r="F69" s="67"/>
      <c r="G69" s="68"/>
    </row>
    <row r="70" spans="1:7" x14ac:dyDescent="0.2">
      <c r="A70" s="18" t="s">
        <v>776</v>
      </c>
      <c r="B70" s="115"/>
      <c r="C70" s="113">
        <v>9680</v>
      </c>
      <c r="D70" s="135">
        <v>145137.68</v>
      </c>
      <c r="E70" s="68"/>
      <c r="F70" s="67"/>
      <c r="G70" s="68"/>
    </row>
    <row r="71" spans="1:7" x14ac:dyDescent="0.2">
      <c r="A71" s="18" t="s">
        <v>823</v>
      </c>
      <c r="B71" s="115"/>
      <c r="C71" s="113">
        <v>225</v>
      </c>
      <c r="D71" s="135">
        <v>2470.19643</v>
      </c>
      <c r="E71" s="68"/>
      <c r="F71" s="67"/>
      <c r="G71" s="68"/>
    </row>
    <row r="72" spans="1:7" x14ac:dyDescent="0.2">
      <c r="A72" s="18" t="s">
        <v>831</v>
      </c>
      <c r="B72" s="115"/>
      <c r="C72" s="113">
        <v>20</v>
      </c>
      <c r="D72" s="135">
        <v>2000</v>
      </c>
      <c r="E72" s="68"/>
      <c r="F72" s="67"/>
      <c r="G72" s="68"/>
    </row>
    <row r="73" spans="1:7" x14ac:dyDescent="0.2">
      <c r="A73" s="18" t="s">
        <v>38</v>
      </c>
      <c r="B73" s="22" t="s">
        <v>65</v>
      </c>
      <c r="C73" s="68"/>
      <c r="D73" s="67"/>
      <c r="E73" s="20" t="s">
        <v>138</v>
      </c>
      <c r="F73" s="34" t="s">
        <v>138</v>
      </c>
      <c r="G73" s="68"/>
    </row>
    <row r="74" spans="1:7" x14ac:dyDescent="0.2">
      <c r="A74" s="18" t="s">
        <v>80</v>
      </c>
      <c r="B74" s="22"/>
      <c r="C74" s="68"/>
      <c r="D74" s="67"/>
      <c r="E74" s="20" t="s">
        <v>138</v>
      </c>
      <c r="F74" s="34" t="s">
        <v>138</v>
      </c>
      <c r="G74" s="68"/>
    </row>
    <row r="75" spans="1:7" ht="25.5" x14ac:dyDescent="0.2">
      <c r="A75" s="18" t="s">
        <v>125</v>
      </c>
      <c r="B75" s="22" t="s">
        <v>66</v>
      </c>
      <c r="C75" s="68"/>
      <c r="D75" s="67"/>
      <c r="E75" s="20" t="s">
        <v>138</v>
      </c>
      <c r="F75" s="34" t="s">
        <v>138</v>
      </c>
      <c r="G75" s="68"/>
    </row>
    <row r="76" spans="1:7" ht="29.25" customHeight="1" x14ac:dyDescent="0.2">
      <c r="A76" s="18" t="s">
        <v>223</v>
      </c>
      <c r="B76" s="22" t="s">
        <v>126</v>
      </c>
      <c r="C76" s="68"/>
      <c r="D76" s="67"/>
      <c r="E76" s="20" t="s">
        <v>138</v>
      </c>
      <c r="F76" s="34" t="s">
        <v>138</v>
      </c>
      <c r="G76" s="68"/>
    </row>
    <row r="77" spans="1:7" x14ac:dyDescent="0.2">
      <c r="A77" s="18" t="s">
        <v>127</v>
      </c>
      <c r="B77" s="22"/>
      <c r="C77" s="68"/>
      <c r="D77" s="67"/>
      <c r="E77" s="20" t="s">
        <v>138</v>
      </c>
      <c r="F77" s="34" t="s">
        <v>138</v>
      </c>
      <c r="G77" s="68"/>
    </row>
    <row r="78" spans="1:7" x14ac:dyDescent="0.2">
      <c r="A78" s="18" t="s">
        <v>121</v>
      </c>
      <c r="B78" s="22" t="s">
        <v>130</v>
      </c>
      <c r="C78" s="68"/>
      <c r="D78" s="67"/>
      <c r="E78" s="20" t="s">
        <v>138</v>
      </c>
      <c r="F78" s="34" t="s">
        <v>138</v>
      </c>
      <c r="G78" s="68"/>
    </row>
    <row r="79" spans="1:7" x14ac:dyDescent="0.2">
      <c r="A79" s="18" t="s">
        <v>128</v>
      </c>
      <c r="B79" s="22"/>
      <c r="C79" s="68"/>
      <c r="D79" s="67"/>
      <c r="E79" s="20" t="s">
        <v>138</v>
      </c>
      <c r="F79" s="34" t="s">
        <v>138</v>
      </c>
      <c r="G79" s="68"/>
    </row>
    <row r="80" spans="1:7" x14ac:dyDescent="0.2">
      <c r="A80" s="18" t="s">
        <v>122</v>
      </c>
      <c r="B80" s="22" t="s">
        <v>131</v>
      </c>
      <c r="C80" s="68"/>
      <c r="D80" s="67"/>
      <c r="E80" s="20" t="s">
        <v>138</v>
      </c>
      <c r="F80" s="34" t="s">
        <v>138</v>
      </c>
      <c r="G80" s="68"/>
    </row>
    <row r="81" spans="1:7" ht="27.75" customHeight="1" x14ac:dyDescent="0.2">
      <c r="A81" s="18" t="s">
        <v>129</v>
      </c>
      <c r="B81" s="22"/>
      <c r="C81" s="68"/>
      <c r="D81" s="67"/>
      <c r="E81" s="20" t="s">
        <v>138</v>
      </c>
      <c r="F81" s="34" t="s">
        <v>138</v>
      </c>
      <c r="G81" s="68"/>
    </row>
    <row r="82" spans="1:7" ht="150" customHeight="1" x14ac:dyDescent="0.2">
      <c r="A82" s="18" t="s">
        <v>164</v>
      </c>
      <c r="B82" s="22" t="s">
        <v>132</v>
      </c>
      <c r="C82" s="113">
        <v>3897198</v>
      </c>
      <c r="D82" s="67">
        <f>392926.6802+312.6254</f>
        <v>393239.30560000002</v>
      </c>
      <c r="E82" s="140" t="s">
        <v>138</v>
      </c>
      <c r="F82" s="34" t="s">
        <v>138</v>
      </c>
      <c r="G82" s="68" t="s">
        <v>857</v>
      </c>
    </row>
  </sheetData>
  <mergeCells count="11">
    <mergeCell ref="A1:G1"/>
    <mergeCell ref="A2:G2"/>
    <mergeCell ref="G4:G7"/>
    <mergeCell ref="A4:A7"/>
    <mergeCell ref="C4:D4"/>
    <mergeCell ref="E4:F4"/>
    <mergeCell ref="B4:B7"/>
    <mergeCell ref="C5:C7"/>
    <mergeCell ref="D5:D7"/>
    <mergeCell ref="E5:E7"/>
    <mergeCell ref="F5:F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view="pageBreakPreview" zoomScale="110" zoomScaleNormal="100" zoomScaleSheetLayoutView="110" workbookViewId="0">
      <selection activeCell="A11" sqref="A11"/>
    </sheetView>
  </sheetViews>
  <sheetFormatPr defaultRowHeight="12.75" x14ac:dyDescent="0.2"/>
  <cols>
    <col min="1" max="1" width="61.28515625" customWidth="1"/>
    <col min="2" max="2" width="10.28515625" customWidth="1"/>
    <col min="3" max="3" width="17.5703125" customWidth="1"/>
    <col min="6" max="6" width="14.5703125" customWidth="1"/>
  </cols>
  <sheetData>
    <row r="1" spans="1:6" s="37" customFormat="1" ht="20.25" customHeight="1" x14ac:dyDescent="0.2">
      <c r="A1" s="180" t="s">
        <v>39</v>
      </c>
      <c r="B1" s="180"/>
      <c r="C1" s="180"/>
      <c r="D1" s="38"/>
      <c r="E1" s="38"/>
      <c r="F1" s="38"/>
    </row>
    <row r="2" spans="1:6" s="37" customFormat="1" ht="19.5" customHeight="1" x14ac:dyDescent="0.2">
      <c r="A2" s="180" t="s">
        <v>205</v>
      </c>
      <c r="B2" s="180"/>
      <c r="C2" s="180"/>
      <c r="D2" s="38"/>
      <c r="E2" s="38"/>
      <c r="F2" s="38"/>
    </row>
    <row r="3" spans="1:6" x14ac:dyDescent="0.2">
      <c r="A3" s="1"/>
      <c r="B3" s="2"/>
      <c r="C3" s="2"/>
      <c r="D3" s="2"/>
      <c r="E3" s="2"/>
      <c r="F3" s="2"/>
    </row>
    <row r="4" spans="1:6" s="10" customFormat="1" ht="51" customHeight="1" x14ac:dyDescent="0.2">
      <c r="A4" s="17" t="s">
        <v>0</v>
      </c>
      <c r="B4" s="17" t="s">
        <v>41</v>
      </c>
      <c r="C4" s="17" t="s">
        <v>82</v>
      </c>
      <c r="D4" s="39"/>
      <c r="E4" s="39"/>
      <c r="F4" s="39"/>
    </row>
    <row r="5" spans="1:6" s="10" customFormat="1" ht="19.5" customHeight="1" x14ac:dyDescent="0.2">
      <c r="A5" s="17">
        <v>1</v>
      </c>
      <c r="B5" s="17">
        <v>2</v>
      </c>
      <c r="C5" s="17">
        <v>3</v>
      </c>
      <c r="D5" s="39"/>
      <c r="E5" s="39"/>
      <c r="F5" s="39"/>
    </row>
    <row r="6" spans="1:6" s="10" customFormat="1" ht="30.75" customHeight="1" x14ac:dyDescent="0.2">
      <c r="A6" s="18" t="s">
        <v>206</v>
      </c>
      <c r="B6" s="22" t="s">
        <v>118</v>
      </c>
      <c r="C6" s="68">
        <v>571</v>
      </c>
      <c r="D6" s="39"/>
      <c r="E6" s="39"/>
      <c r="F6" s="39"/>
    </row>
    <row r="7" spans="1:6" s="10" customFormat="1" ht="30.75" customHeight="1" x14ac:dyDescent="0.2">
      <c r="A7" s="18" t="s">
        <v>207</v>
      </c>
      <c r="B7" s="22" t="s">
        <v>109</v>
      </c>
      <c r="C7" s="68">
        <v>57</v>
      </c>
      <c r="D7" s="39"/>
      <c r="E7" s="39"/>
      <c r="F7" s="39"/>
    </row>
    <row r="8" spans="1:6" s="10" customFormat="1" ht="30.75" customHeight="1" x14ac:dyDescent="0.2">
      <c r="A8" s="18" t="s">
        <v>208</v>
      </c>
      <c r="B8" s="22" t="s">
        <v>110</v>
      </c>
      <c r="C8" s="68">
        <v>6</v>
      </c>
      <c r="D8" s="39"/>
      <c r="E8" s="39"/>
      <c r="F8" s="39"/>
    </row>
    <row r="9" spans="1:6" s="10" customFormat="1" ht="39.75" customHeight="1" x14ac:dyDescent="0.2">
      <c r="A9" s="18" t="s">
        <v>218</v>
      </c>
      <c r="B9" s="22" t="s">
        <v>111</v>
      </c>
      <c r="C9" s="68">
        <v>670</v>
      </c>
      <c r="D9" s="39"/>
      <c r="E9" s="39"/>
      <c r="F9" s="39"/>
    </row>
    <row r="10" spans="1:6" s="10" customFormat="1" ht="30.75" customHeight="1" x14ac:dyDescent="0.2">
      <c r="A10" s="18" t="s">
        <v>217</v>
      </c>
      <c r="B10" s="22" t="s">
        <v>165</v>
      </c>
      <c r="C10" s="68">
        <v>2</v>
      </c>
      <c r="D10" s="39"/>
      <c r="E10" s="39"/>
      <c r="F10" s="39"/>
    </row>
    <row r="11" spans="1:6" s="10" customFormat="1" ht="30.75" customHeight="1" x14ac:dyDescent="0.2">
      <c r="A11" s="18" t="s">
        <v>219</v>
      </c>
      <c r="B11" s="22" t="s">
        <v>166</v>
      </c>
      <c r="C11" s="68">
        <v>0</v>
      </c>
      <c r="D11" s="39"/>
      <c r="E11" s="39"/>
      <c r="F11" s="39"/>
    </row>
    <row r="12" spans="1:6" s="10" customFormat="1" ht="30.75" customHeight="1" x14ac:dyDescent="0.2">
      <c r="A12" s="18" t="s">
        <v>220</v>
      </c>
      <c r="B12" s="22" t="s">
        <v>167</v>
      </c>
      <c r="C12" s="68">
        <v>0</v>
      </c>
      <c r="D12" s="39"/>
      <c r="E12" s="39"/>
      <c r="F12" s="39"/>
    </row>
    <row r="13" spans="1:6" s="10" customFormat="1" ht="30.75" customHeight="1" x14ac:dyDescent="0.2">
      <c r="A13" s="18" t="s">
        <v>221</v>
      </c>
      <c r="B13" s="22" t="s">
        <v>168</v>
      </c>
      <c r="C13" s="68">
        <v>0</v>
      </c>
      <c r="D13" s="39"/>
      <c r="E13" s="39"/>
      <c r="F13" s="39"/>
    </row>
    <row r="14" spans="1:6" s="10" customFormat="1" ht="30.75" customHeight="1" x14ac:dyDescent="0.2">
      <c r="A14" s="18" t="s">
        <v>224</v>
      </c>
      <c r="B14" s="22" t="s">
        <v>112</v>
      </c>
      <c r="C14" s="68">
        <v>146827</v>
      </c>
      <c r="D14" s="39"/>
      <c r="E14" s="39"/>
      <c r="F14" s="39"/>
    </row>
    <row r="15" spans="1:6" s="10" customFormat="1" ht="30.75" customHeight="1" x14ac:dyDescent="0.2">
      <c r="A15" s="18" t="s">
        <v>217</v>
      </c>
      <c r="B15" s="22" t="s">
        <v>169</v>
      </c>
      <c r="C15" s="68">
        <v>127</v>
      </c>
      <c r="D15" s="39"/>
      <c r="E15" s="39"/>
      <c r="F15" s="39"/>
    </row>
    <row r="16" spans="1:6" s="10" customFormat="1" ht="30.75" customHeight="1" x14ac:dyDescent="0.2">
      <c r="A16" s="18" t="s">
        <v>219</v>
      </c>
      <c r="B16" s="22" t="s">
        <v>170</v>
      </c>
      <c r="C16" s="68">
        <v>1</v>
      </c>
      <c r="D16" s="39"/>
      <c r="E16" s="39"/>
      <c r="F16" s="39"/>
    </row>
    <row r="17" spans="1:6" s="10" customFormat="1" ht="30.75" customHeight="1" x14ac:dyDescent="0.2">
      <c r="A17" s="18" t="s">
        <v>220</v>
      </c>
      <c r="B17" s="22" t="s">
        <v>171</v>
      </c>
      <c r="C17" s="68">
        <v>0</v>
      </c>
      <c r="D17" s="39"/>
      <c r="E17" s="39"/>
      <c r="F17" s="39"/>
    </row>
    <row r="18" spans="1:6" s="10" customFormat="1" ht="30.75" customHeight="1" x14ac:dyDescent="0.2">
      <c r="A18" s="18" t="s">
        <v>221</v>
      </c>
      <c r="B18" s="22" t="s">
        <v>172</v>
      </c>
      <c r="C18" s="68">
        <v>0</v>
      </c>
      <c r="D18" s="39"/>
      <c r="E18" s="39"/>
      <c r="F18" s="39"/>
    </row>
    <row r="19" spans="1:6" s="10" customFormat="1" ht="30.75" customHeight="1" x14ac:dyDescent="0.2">
      <c r="A19" s="18" t="s">
        <v>114</v>
      </c>
      <c r="B19" s="22" t="s">
        <v>113</v>
      </c>
      <c r="C19" s="68">
        <v>15322</v>
      </c>
      <c r="D19" s="39"/>
      <c r="E19" s="39"/>
      <c r="F19" s="39"/>
    </row>
    <row r="20" spans="1:6" x14ac:dyDescent="0.2">
      <c r="A20" s="3"/>
      <c r="B20" s="5"/>
      <c r="C20" s="5"/>
      <c r="D20" s="5"/>
      <c r="E20" s="5"/>
      <c r="F20" s="3"/>
    </row>
    <row r="21" spans="1:6" x14ac:dyDescent="0.2">
      <c r="A21" s="3"/>
      <c r="B21" s="5"/>
      <c r="C21" s="5"/>
      <c r="D21" s="5"/>
      <c r="E21" s="5"/>
      <c r="F21" s="3"/>
    </row>
    <row r="22" spans="1:6" x14ac:dyDescent="0.2">
      <c r="A22" s="3"/>
      <c r="B22" s="3"/>
      <c r="C22" s="3"/>
      <c r="D22" s="3"/>
      <c r="E22" s="3"/>
      <c r="F22" s="3"/>
    </row>
  </sheetData>
  <mergeCells count="2">
    <mergeCell ref="A1:C1"/>
    <mergeCell ref="A2:C2"/>
  </mergeCells>
  <phoneticPr fontId="2" type="noConversion"/>
  <pageMargins left="0.78740157480314965" right="0.59055118110236227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49"/>
  <sheetViews>
    <sheetView view="pageBreakPreview" zoomScale="110" zoomScaleNormal="100" zoomScaleSheetLayoutView="110" workbookViewId="0">
      <selection activeCell="D58" sqref="D58"/>
    </sheetView>
  </sheetViews>
  <sheetFormatPr defaultRowHeight="12.75" x14ac:dyDescent="0.2"/>
  <cols>
    <col min="1" max="1" width="40.7109375" style="7" customWidth="1"/>
    <col min="2" max="2" width="15" style="7" customWidth="1"/>
    <col min="3" max="3" width="11.5703125" style="7" customWidth="1"/>
    <col min="4" max="4" width="11.42578125" style="7" customWidth="1"/>
    <col min="5" max="5" width="16" style="7" customWidth="1"/>
    <col min="6" max="6" width="9.28515625" style="7" customWidth="1"/>
    <col min="7" max="7" width="10.5703125" style="7" customWidth="1"/>
    <col min="8" max="16384" width="9.140625" style="7"/>
  </cols>
  <sheetData>
    <row r="1" spans="1:7" ht="22.5" customHeight="1" x14ac:dyDescent="0.2">
      <c r="A1" s="180" t="s">
        <v>40</v>
      </c>
      <c r="B1" s="180"/>
      <c r="C1" s="180"/>
      <c r="D1" s="180"/>
      <c r="E1" s="180"/>
      <c r="F1" s="180"/>
      <c r="G1" s="180"/>
    </row>
    <row r="2" spans="1:7" ht="15.75" customHeight="1" x14ac:dyDescent="0.2">
      <c r="A2" s="190" t="s">
        <v>235</v>
      </c>
      <c r="B2" s="190"/>
      <c r="C2" s="190"/>
      <c r="D2" s="190"/>
      <c r="E2" s="190"/>
      <c r="F2" s="190"/>
      <c r="G2" s="190"/>
    </row>
    <row r="3" spans="1:7" ht="15.75" customHeight="1" x14ac:dyDescent="0.2">
      <c r="A3" s="190"/>
      <c r="B3" s="190"/>
      <c r="C3" s="190"/>
      <c r="D3" s="190"/>
      <c r="E3" s="190"/>
      <c r="F3" s="190"/>
      <c r="G3" s="190"/>
    </row>
    <row r="4" spans="1:7" ht="9" customHeight="1" x14ac:dyDescent="0.2">
      <c r="A4" s="190"/>
      <c r="B4" s="190"/>
      <c r="C4" s="190"/>
      <c r="D4" s="190"/>
      <c r="E4" s="190"/>
      <c r="F4" s="190"/>
      <c r="G4" s="190"/>
    </row>
    <row r="5" spans="1:7" ht="0.75" customHeight="1" x14ac:dyDescent="0.2">
      <c r="A5" s="190"/>
      <c r="B5" s="190"/>
      <c r="C5" s="190"/>
      <c r="D5" s="190"/>
      <c r="E5" s="190"/>
      <c r="F5" s="190"/>
      <c r="G5" s="190"/>
    </row>
    <row r="7" spans="1:7" ht="77.25" customHeight="1" x14ac:dyDescent="0.2">
      <c r="A7" s="169" t="s">
        <v>209</v>
      </c>
      <c r="B7" s="169" t="s">
        <v>72</v>
      </c>
      <c r="C7" s="166" t="s">
        <v>105</v>
      </c>
      <c r="D7" s="166" t="s">
        <v>106</v>
      </c>
      <c r="E7" s="169" t="s">
        <v>173</v>
      </c>
      <c r="F7" s="194"/>
      <c r="G7" s="169" t="s">
        <v>68</v>
      </c>
    </row>
    <row r="8" spans="1:7" ht="48.75" customHeight="1" x14ac:dyDescent="0.2">
      <c r="A8" s="194"/>
      <c r="B8" s="169"/>
      <c r="C8" s="185"/>
      <c r="D8" s="185"/>
      <c r="E8" s="17" t="s">
        <v>174</v>
      </c>
      <c r="F8" s="17" t="s">
        <v>236</v>
      </c>
      <c r="G8" s="169"/>
    </row>
    <row r="9" spans="1:7" ht="12.75" hidden="1" customHeight="1" x14ac:dyDescent="0.2">
      <c r="A9" s="40"/>
      <c r="B9" s="36"/>
      <c r="C9" s="36"/>
      <c r="D9" s="36"/>
      <c r="E9" s="41"/>
      <c r="F9" s="42" t="s">
        <v>69</v>
      </c>
      <c r="G9" s="41"/>
    </row>
    <row r="10" spans="1:7" ht="12.75" hidden="1" customHeight="1" x14ac:dyDescent="0.2">
      <c r="A10" s="40"/>
      <c r="B10" s="36"/>
      <c r="C10" s="36"/>
      <c r="D10" s="36"/>
      <c r="E10" s="41"/>
      <c r="F10" s="42" t="s">
        <v>70</v>
      </c>
      <c r="G10" s="41"/>
    </row>
    <row r="11" spans="1:7" x14ac:dyDescent="0.2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</row>
    <row r="12" spans="1:7" ht="38.25" x14ac:dyDescent="0.2">
      <c r="A12" s="77" t="s">
        <v>246</v>
      </c>
      <c r="B12" s="78" t="s">
        <v>247</v>
      </c>
      <c r="C12" s="79" t="s">
        <v>248</v>
      </c>
      <c r="D12" s="80">
        <v>43934</v>
      </c>
      <c r="E12" s="81"/>
      <c r="F12" s="81"/>
      <c r="G12" s="82"/>
    </row>
    <row r="13" spans="1:7" ht="51" x14ac:dyDescent="0.2">
      <c r="A13" s="77" t="s">
        <v>249</v>
      </c>
      <c r="B13" s="78" t="s">
        <v>250</v>
      </c>
      <c r="C13" s="79" t="s">
        <v>798</v>
      </c>
      <c r="D13" s="80">
        <v>45396</v>
      </c>
      <c r="E13" s="81">
        <v>1</v>
      </c>
      <c r="F13" s="83">
        <v>2E-8</v>
      </c>
      <c r="G13" s="82"/>
    </row>
    <row r="14" spans="1:7" ht="51" x14ac:dyDescent="0.2">
      <c r="A14" s="77" t="s">
        <v>799</v>
      </c>
      <c r="B14" s="78" t="s">
        <v>292</v>
      </c>
      <c r="C14" s="79" t="s">
        <v>800</v>
      </c>
      <c r="D14" s="80">
        <v>45383</v>
      </c>
      <c r="E14" s="81"/>
      <c r="F14" s="83"/>
      <c r="G14" s="82"/>
    </row>
    <row r="15" spans="1:7" ht="63.75" x14ac:dyDescent="0.2">
      <c r="A15" s="77" t="s">
        <v>815</v>
      </c>
      <c r="B15" s="78" t="s">
        <v>816</v>
      </c>
      <c r="C15" s="79" t="s">
        <v>817</v>
      </c>
      <c r="D15" s="80">
        <v>45477</v>
      </c>
      <c r="E15" s="81"/>
      <c r="F15" s="83"/>
      <c r="G15" s="82"/>
    </row>
    <row r="16" spans="1:7" ht="76.5" x14ac:dyDescent="0.2">
      <c r="A16" s="84" t="s">
        <v>251</v>
      </c>
      <c r="B16" s="85" t="s">
        <v>252</v>
      </c>
      <c r="C16" s="81" t="s">
        <v>253</v>
      </c>
      <c r="D16" s="86">
        <v>45195</v>
      </c>
      <c r="E16" s="81"/>
      <c r="F16" s="83"/>
      <c r="G16" s="82"/>
    </row>
    <row r="17" spans="1:7" ht="51" x14ac:dyDescent="0.2">
      <c r="A17" s="87" t="s">
        <v>254</v>
      </c>
      <c r="B17" s="88" t="s">
        <v>255</v>
      </c>
      <c r="C17" s="89" t="s">
        <v>256</v>
      </c>
      <c r="D17" s="90">
        <v>45349</v>
      </c>
      <c r="E17" s="81">
        <v>31</v>
      </c>
      <c r="F17" s="83">
        <v>4.9999999999999998E-7</v>
      </c>
      <c r="G17" s="82"/>
    </row>
    <row r="18" spans="1:7" ht="76.5" x14ac:dyDescent="0.2">
      <c r="A18" s="87" t="s">
        <v>257</v>
      </c>
      <c r="B18" s="88" t="s">
        <v>812</v>
      </c>
      <c r="C18" s="89" t="s">
        <v>258</v>
      </c>
      <c r="D18" s="90">
        <v>45366</v>
      </c>
      <c r="E18" s="81"/>
      <c r="F18" s="83"/>
      <c r="G18" s="82"/>
    </row>
    <row r="19" spans="1:7" ht="38.25" x14ac:dyDescent="0.2">
      <c r="A19" s="87" t="s">
        <v>259</v>
      </c>
      <c r="B19" s="88" t="s">
        <v>260</v>
      </c>
      <c r="C19" s="89" t="s">
        <v>261</v>
      </c>
      <c r="D19" s="90">
        <v>44846</v>
      </c>
      <c r="E19" s="81"/>
      <c r="F19" s="83"/>
      <c r="G19" s="82"/>
    </row>
    <row r="20" spans="1:7" ht="140.25" x14ac:dyDescent="0.2">
      <c r="A20" s="87" t="s">
        <v>263</v>
      </c>
      <c r="B20" s="88" t="s">
        <v>264</v>
      </c>
      <c r="C20" s="89" t="s">
        <v>265</v>
      </c>
      <c r="D20" s="90">
        <v>43880</v>
      </c>
      <c r="E20" s="81"/>
      <c r="F20" s="83"/>
      <c r="G20" s="82"/>
    </row>
    <row r="21" spans="1:7" ht="63.75" x14ac:dyDescent="0.2">
      <c r="A21" s="77" t="s">
        <v>267</v>
      </c>
      <c r="B21" s="78" t="s">
        <v>268</v>
      </c>
      <c r="C21" s="79" t="s">
        <v>269</v>
      </c>
      <c r="D21" s="80">
        <v>45085</v>
      </c>
      <c r="E21" s="81"/>
      <c r="F21" s="83"/>
      <c r="G21" s="82"/>
    </row>
    <row r="22" spans="1:7" ht="38.25" x14ac:dyDescent="0.2">
      <c r="A22" s="87" t="s">
        <v>270</v>
      </c>
      <c r="B22" s="85" t="s">
        <v>247</v>
      </c>
      <c r="C22" s="89" t="s">
        <v>271</v>
      </c>
      <c r="D22" s="90">
        <v>44979</v>
      </c>
      <c r="E22" s="81">
        <v>47</v>
      </c>
      <c r="F22" s="83">
        <v>7.6000000000000003E-7</v>
      </c>
      <c r="G22" s="82"/>
    </row>
    <row r="23" spans="1:7" ht="63.75" x14ac:dyDescent="0.2">
      <c r="A23" s="87" t="s">
        <v>272</v>
      </c>
      <c r="B23" s="85" t="s">
        <v>273</v>
      </c>
      <c r="C23" s="89" t="s">
        <v>274</v>
      </c>
      <c r="D23" s="90">
        <v>44417</v>
      </c>
      <c r="E23" s="81"/>
      <c r="F23" s="83"/>
      <c r="G23" s="82"/>
    </row>
    <row r="24" spans="1:7" ht="102" x14ac:dyDescent="0.2">
      <c r="A24" s="84" t="s">
        <v>275</v>
      </c>
      <c r="B24" s="85" t="s">
        <v>276</v>
      </c>
      <c r="C24" s="81" t="s">
        <v>277</v>
      </c>
      <c r="D24" s="86">
        <v>45307</v>
      </c>
      <c r="E24" s="81"/>
      <c r="F24" s="83"/>
      <c r="G24" s="82" t="s">
        <v>278</v>
      </c>
    </row>
    <row r="25" spans="1:7" ht="63.75" x14ac:dyDescent="0.2">
      <c r="A25" s="77" t="s">
        <v>279</v>
      </c>
      <c r="B25" s="78" t="s">
        <v>273</v>
      </c>
      <c r="C25" s="79" t="s">
        <v>280</v>
      </c>
      <c r="D25" s="80">
        <v>44574</v>
      </c>
      <c r="E25" s="81"/>
      <c r="F25" s="83"/>
      <c r="G25" s="82"/>
    </row>
    <row r="26" spans="1:7" ht="63.75" x14ac:dyDescent="0.2">
      <c r="A26" s="77" t="s">
        <v>281</v>
      </c>
      <c r="B26" s="78" t="s">
        <v>282</v>
      </c>
      <c r="C26" s="91" t="s">
        <v>283</v>
      </c>
      <c r="D26" s="80">
        <v>44609</v>
      </c>
      <c r="E26" s="81">
        <v>4</v>
      </c>
      <c r="F26" s="83">
        <v>5.9999999999999995E-8</v>
      </c>
      <c r="G26" s="82"/>
    </row>
    <row r="27" spans="1:7" ht="76.5" x14ac:dyDescent="0.2">
      <c r="A27" s="77" t="s">
        <v>284</v>
      </c>
      <c r="B27" s="78" t="s">
        <v>285</v>
      </c>
      <c r="C27" s="91" t="s">
        <v>286</v>
      </c>
      <c r="D27" s="80">
        <v>45302</v>
      </c>
      <c r="E27" s="81"/>
      <c r="F27" s="83"/>
      <c r="G27" s="82"/>
    </row>
    <row r="28" spans="1:7" ht="51" x14ac:dyDescent="0.2">
      <c r="A28" s="84" t="s">
        <v>288</v>
      </c>
      <c r="B28" s="85" t="s">
        <v>289</v>
      </c>
      <c r="C28" s="81" t="s">
        <v>290</v>
      </c>
      <c r="D28" s="86">
        <v>43962</v>
      </c>
      <c r="E28" s="81"/>
      <c r="F28" s="83"/>
      <c r="G28" s="82"/>
    </row>
    <row r="29" spans="1:7" ht="51" x14ac:dyDescent="0.2">
      <c r="A29" s="77" t="s">
        <v>291</v>
      </c>
      <c r="B29" s="78" t="s">
        <v>292</v>
      </c>
      <c r="C29" s="79" t="s">
        <v>293</v>
      </c>
      <c r="D29" s="80">
        <v>44972</v>
      </c>
      <c r="E29" s="81">
        <v>1</v>
      </c>
      <c r="F29" s="83">
        <v>2E-8</v>
      </c>
      <c r="G29" s="82"/>
    </row>
    <row r="30" spans="1:7" ht="25.5" x14ac:dyDescent="0.2">
      <c r="A30" s="84" t="s">
        <v>294</v>
      </c>
      <c r="B30" s="85" t="s">
        <v>295</v>
      </c>
      <c r="C30" s="81" t="s">
        <v>296</v>
      </c>
      <c r="D30" s="86">
        <v>44985</v>
      </c>
      <c r="E30" s="81"/>
      <c r="F30" s="83"/>
      <c r="G30" s="82"/>
    </row>
    <row r="31" spans="1:7" ht="89.25" x14ac:dyDescent="0.2">
      <c r="A31" s="77" t="s">
        <v>297</v>
      </c>
      <c r="B31" s="85" t="s">
        <v>266</v>
      </c>
      <c r="C31" s="79" t="s">
        <v>298</v>
      </c>
      <c r="D31" s="80">
        <v>44902</v>
      </c>
      <c r="E31" s="81">
        <v>1</v>
      </c>
      <c r="F31" s="83">
        <v>2E-8</v>
      </c>
      <c r="G31" s="82"/>
    </row>
    <row r="32" spans="1:7" ht="38.25" x14ac:dyDescent="0.2">
      <c r="A32" s="77" t="s">
        <v>299</v>
      </c>
      <c r="B32" s="78" t="s">
        <v>300</v>
      </c>
      <c r="C32" s="79" t="s">
        <v>301</v>
      </c>
      <c r="D32" s="80">
        <v>44678</v>
      </c>
      <c r="E32" s="81"/>
      <c r="F32" s="83"/>
      <c r="G32" s="82"/>
    </row>
    <row r="33" spans="1:7" ht="63.75" x14ac:dyDescent="0.2">
      <c r="A33" s="87" t="s">
        <v>302</v>
      </c>
      <c r="B33" s="88" t="s">
        <v>303</v>
      </c>
      <c r="C33" s="89" t="s">
        <v>304</v>
      </c>
      <c r="D33" s="90">
        <v>45258</v>
      </c>
      <c r="E33" s="81">
        <v>29</v>
      </c>
      <c r="F33" s="83">
        <v>4.7E-7</v>
      </c>
      <c r="G33" s="82"/>
    </row>
    <row r="34" spans="1:7" ht="38.25" x14ac:dyDescent="0.2">
      <c r="A34" s="84" t="s">
        <v>305</v>
      </c>
      <c r="B34" s="85" t="s">
        <v>247</v>
      </c>
      <c r="C34" s="81" t="s">
        <v>838</v>
      </c>
      <c r="D34" s="86">
        <v>45650</v>
      </c>
      <c r="E34" s="81"/>
      <c r="F34" s="83"/>
      <c r="G34" s="82"/>
    </row>
    <row r="35" spans="1:7" ht="51" x14ac:dyDescent="0.2">
      <c r="A35" s="87" t="s">
        <v>306</v>
      </c>
      <c r="B35" s="88" t="s">
        <v>307</v>
      </c>
      <c r="C35" s="93" t="s">
        <v>308</v>
      </c>
      <c r="D35" s="90">
        <v>44364</v>
      </c>
      <c r="E35" s="81">
        <v>25</v>
      </c>
      <c r="F35" s="83">
        <v>3.9999999999999998E-7</v>
      </c>
      <c r="G35" s="82"/>
    </row>
    <row r="36" spans="1:7" ht="63.75" x14ac:dyDescent="0.2">
      <c r="A36" s="87" t="s">
        <v>309</v>
      </c>
      <c r="B36" s="88" t="s">
        <v>310</v>
      </c>
      <c r="C36" s="89" t="s">
        <v>801</v>
      </c>
      <c r="D36" s="90">
        <v>45454</v>
      </c>
      <c r="E36" s="81"/>
      <c r="F36" s="83"/>
      <c r="G36" s="82"/>
    </row>
    <row r="37" spans="1:7" ht="76.5" x14ac:dyDescent="0.2">
      <c r="A37" s="84" t="s">
        <v>311</v>
      </c>
      <c r="B37" s="85" t="s">
        <v>312</v>
      </c>
      <c r="C37" s="81" t="s">
        <v>313</v>
      </c>
      <c r="D37" s="86">
        <v>45318</v>
      </c>
      <c r="E37" s="81"/>
      <c r="F37" s="83"/>
      <c r="G37" s="82" t="s">
        <v>278</v>
      </c>
    </row>
    <row r="38" spans="1:7" ht="153" x14ac:dyDescent="0.2">
      <c r="A38" s="84" t="s">
        <v>314</v>
      </c>
      <c r="B38" s="85" t="s">
        <v>315</v>
      </c>
      <c r="C38" s="81" t="s">
        <v>316</v>
      </c>
      <c r="D38" s="86">
        <v>43901</v>
      </c>
      <c r="E38" s="81"/>
      <c r="F38" s="83"/>
      <c r="G38" s="82"/>
    </row>
    <row r="39" spans="1:7" ht="89.25" x14ac:dyDescent="0.2">
      <c r="A39" s="84" t="s">
        <v>317</v>
      </c>
      <c r="B39" s="85" t="s">
        <v>318</v>
      </c>
      <c r="C39" s="81" t="s">
        <v>818</v>
      </c>
      <c r="D39" s="86">
        <v>45475</v>
      </c>
      <c r="E39" s="81"/>
      <c r="F39" s="83"/>
      <c r="G39" s="82"/>
    </row>
    <row r="40" spans="1:7" ht="76.5" x14ac:dyDescent="0.2">
      <c r="A40" s="84" t="s">
        <v>319</v>
      </c>
      <c r="B40" s="85" t="s">
        <v>320</v>
      </c>
      <c r="C40" s="81" t="s">
        <v>321</v>
      </c>
      <c r="D40" s="86">
        <v>44712</v>
      </c>
      <c r="E40" s="81"/>
      <c r="F40" s="83"/>
      <c r="G40" s="82" t="s">
        <v>278</v>
      </c>
    </row>
    <row r="41" spans="1:7" ht="76.5" x14ac:dyDescent="0.2">
      <c r="A41" s="84" t="s">
        <v>322</v>
      </c>
      <c r="B41" s="85" t="s">
        <v>323</v>
      </c>
      <c r="C41" s="81" t="s">
        <v>324</v>
      </c>
      <c r="D41" s="86">
        <v>45085</v>
      </c>
      <c r="E41" s="81"/>
      <c r="F41" s="83"/>
      <c r="G41" s="82"/>
    </row>
    <row r="42" spans="1:7" ht="63.75" x14ac:dyDescent="0.2">
      <c r="A42" s="84" t="s">
        <v>325</v>
      </c>
      <c r="B42" s="85" t="s">
        <v>326</v>
      </c>
      <c r="C42" s="81" t="s">
        <v>327</v>
      </c>
      <c r="D42" s="86">
        <v>44616</v>
      </c>
      <c r="E42" s="81"/>
      <c r="F42" s="83"/>
      <c r="G42" s="82"/>
    </row>
    <row r="43" spans="1:7" ht="229.5" x14ac:dyDescent="0.2">
      <c r="A43" s="84" t="s">
        <v>328</v>
      </c>
      <c r="B43" s="85" t="s">
        <v>329</v>
      </c>
      <c r="C43" s="81" t="s">
        <v>330</v>
      </c>
      <c r="D43" s="86">
        <v>44721</v>
      </c>
      <c r="E43" s="81"/>
      <c r="F43" s="83"/>
      <c r="G43" s="82"/>
    </row>
    <row r="44" spans="1:7" ht="63.75" x14ac:dyDescent="0.2">
      <c r="A44" s="84" t="s">
        <v>331</v>
      </c>
      <c r="B44" s="85" t="s">
        <v>332</v>
      </c>
      <c r="C44" s="81" t="s">
        <v>333</v>
      </c>
      <c r="D44" s="86">
        <v>44166</v>
      </c>
      <c r="E44" s="81"/>
      <c r="F44" s="83"/>
      <c r="G44" s="82"/>
    </row>
    <row r="45" spans="1:7" ht="51" x14ac:dyDescent="0.2">
      <c r="A45" s="77" t="s">
        <v>334</v>
      </c>
      <c r="B45" s="85" t="s">
        <v>250</v>
      </c>
      <c r="C45" s="79" t="s">
        <v>335</v>
      </c>
      <c r="D45" s="80">
        <v>44720</v>
      </c>
      <c r="E45" s="81">
        <v>1</v>
      </c>
      <c r="F45" s="83">
        <v>2E-8</v>
      </c>
      <c r="G45" s="82"/>
    </row>
    <row r="46" spans="1:7" ht="76.5" x14ac:dyDescent="0.2">
      <c r="A46" s="77" t="s">
        <v>336</v>
      </c>
      <c r="B46" s="85" t="s">
        <v>337</v>
      </c>
      <c r="C46" s="79" t="s">
        <v>338</v>
      </c>
      <c r="D46" s="80">
        <v>44735</v>
      </c>
      <c r="E46" s="81"/>
      <c r="F46" s="83"/>
      <c r="G46" s="82"/>
    </row>
    <row r="47" spans="1:7" ht="89.25" x14ac:dyDescent="0.2">
      <c r="A47" s="77" t="s">
        <v>339</v>
      </c>
      <c r="B47" s="85" t="s">
        <v>340</v>
      </c>
      <c r="C47" s="79" t="s">
        <v>341</v>
      </c>
      <c r="D47" s="80">
        <v>45302</v>
      </c>
      <c r="E47" s="81"/>
      <c r="F47" s="83"/>
      <c r="G47" s="82"/>
    </row>
    <row r="48" spans="1:7" ht="38.25" x14ac:dyDescent="0.2">
      <c r="A48" s="94" t="s">
        <v>342</v>
      </c>
      <c r="B48" s="78" t="s">
        <v>247</v>
      </c>
      <c r="C48" s="93" t="s">
        <v>343</v>
      </c>
      <c r="D48" s="95">
        <v>44713</v>
      </c>
      <c r="E48" s="81"/>
      <c r="F48" s="83"/>
      <c r="G48" s="82"/>
    </row>
    <row r="49" spans="1:7" ht="63.75" x14ac:dyDescent="0.2">
      <c r="A49" s="94" t="s">
        <v>344</v>
      </c>
      <c r="B49" s="88" t="s">
        <v>345</v>
      </c>
      <c r="C49" s="89" t="s">
        <v>346</v>
      </c>
      <c r="D49" s="90">
        <v>44937</v>
      </c>
      <c r="E49" s="81"/>
      <c r="F49" s="83"/>
      <c r="G49" s="82"/>
    </row>
    <row r="50" spans="1:7" ht="63.75" x14ac:dyDescent="0.2">
      <c r="A50" s="77" t="s">
        <v>347</v>
      </c>
      <c r="B50" s="78" t="s">
        <v>348</v>
      </c>
      <c r="C50" s="79" t="s">
        <v>349</v>
      </c>
      <c r="D50" s="95">
        <v>45076</v>
      </c>
      <c r="E50" s="81"/>
      <c r="F50" s="83"/>
      <c r="G50" s="82"/>
    </row>
    <row r="51" spans="1:7" ht="76.5" x14ac:dyDescent="0.2">
      <c r="A51" s="77" t="s">
        <v>350</v>
      </c>
      <c r="B51" s="78" t="s">
        <v>351</v>
      </c>
      <c r="C51" s="79" t="s">
        <v>352</v>
      </c>
      <c r="D51" s="95">
        <v>44854</v>
      </c>
      <c r="E51" s="81"/>
      <c r="F51" s="83"/>
      <c r="G51" s="82"/>
    </row>
    <row r="52" spans="1:7" ht="76.5" x14ac:dyDescent="0.2">
      <c r="A52" s="84" t="s">
        <v>353</v>
      </c>
      <c r="B52" s="85" t="s">
        <v>354</v>
      </c>
      <c r="C52" s="81" t="s">
        <v>355</v>
      </c>
      <c r="D52" s="86">
        <v>45087</v>
      </c>
      <c r="E52" s="81"/>
      <c r="F52" s="83"/>
      <c r="G52" s="82"/>
    </row>
    <row r="53" spans="1:7" ht="76.5" x14ac:dyDescent="0.2">
      <c r="A53" s="87" t="s">
        <v>356</v>
      </c>
      <c r="B53" s="88" t="s">
        <v>285</v>
      </c>
      <c r="C53" s="89" t="s">
        <v>357</v>
      </c>
      <c r="D53" s="90">
        <v>44591</v>
      </c>
      <c r="E53" s="81">
        <v>94</v>
      </c>
      <c r="F53" s="83">
        <v>1.5200000000000001E-6</v>
      </c>
      <c r="G53" s="82"/>
    </row>
    <row r="54" spans="1:7" ht="38.25" x14ac:dyDescent="0.2">
      <c r="A54" s="94" t="s">
        <v>358</v>
      </c>
      <c r="B54" s="78" t="s">
        <v>247</v>
      </c>
      <c r="C54" s="93" t="s">
        <v>359</v>
      </c>
      <c r="D54" s="95">
        <v>44581</v>
      </c>
      <c r="E54" s="81">
        <v>18</v>
      </c>
      <c r="F54" s="83">
        <v>2.8999999999999998E-7</v>
      </c>
      <c r="G54" s="82"/>
    </row>
    <row r="55" spans="1:7" ht="102" x14ac:dyDescent="0.2">
      <c r="A55" s="77" t="s">
        <v>360</v>
      </c>
      <c r="B55" s="78" t="s">
        <v>361</v>
      </c>
      <c r="C55" s="79" t="s">
        <v>362</v>
      </c>
      <c r="D55" s="80">
        <v>44685</v>
      </c>
      <c r="E55" s="81"/>
      <c r="F55" s="83"/>
      <c r="G55" s="82"/>
    </row>
    <row r="56" spans="1:7" ht="51" x14ac:dyDescent="0.2">
      <c r="A56" s="84" t="s">
        <v>363</v>
      </c>
      <c r="B56" s="85" t="s">
        <v>364</v>
      </c>
      <c r="C56" s="81" t="s">
        <v>365</v>
      </c>
      <c r="D56" s="86" t="s">
        <v>366</v>
      </c>
      <c r="E56" s="81"/>
      <c r="F56" s="83"/>
      <c r="G56" s="82"/>
    </row>
    <row r="57" spans="1:7" ht="89.25" x14ac:dyDescent="0.2">
      <c r="A57" s="84" t="s">
        <v>367</v>
      </c>
      <c r="B57" s="85" t="s">
        <v>368</v>
      </c>
      <c r="C57" s="81" t="s">
        <v>369</v>
      </c>
      <c r="D57" s="86">
        <v>44712</v>
      </c>
      <c r="E57" s="81"/>
      <c r="F57" s="83"/>
      <c r="G57" s="82"/>
    </row>
    <row r="58" spans="1:7" ht="63.75" x14ac:dyDescent="0.2">
      <c r="A58" s="87" t="s">
        <v>370</v>
      </c>
      <c r="B58" s="88" t="s">
        <v>371</v>
      </c>
      <c r="C58" s="89" t="s">
        <v>372</v>
      </c>
      <c r="D58" s="90">
        <v>44126</v>
      </c>
      <c r="E58" s="81">
        <v>17</v>
      </c>
      <c r="F58" s="83">
        <v>2.7000000000000001E-7</v>
      </c>
      <c r="G58" s="82"/>
    </row>
    <row r="59" spans="1:7" ht="51" x14ac:dyDescent="0.2">
      <c r="A59" s="87" t="s">
        <v>373</v>
      </c>
      <c r="B59" s="96" t="s">
        <v>250</v>
      </c>
      <c r="C59" s="81" t="s">
        <v>839</v>
      </c>
      <c r="D59" s="97">
        <v>45585</v>
      </c>
      <c r="E59" s="81">
        <v>1</v>
      </c>
      <c r="F59" s="83">
        <v>2E-8</v>
      </c>
      <c r="G59" s="82"/>
    </row>
    <row r="60" spans="1:7" ht="89.25" x14ac:dyDescent="0.2">
      <c r="A60" s="84" t="s">
        <v>374</v>
      </c>
      <c r="B60" s="85" t="s">
        <v>375</v>
      </c>
      <c r="C60" s="81" t="s">
        <v>376</v>
      </c>
      <c r="D60" s="86">
        <v>45251</v>
      </c>
      <c r="E60" s="81"/>
      <c r="F60" s="83"/>
      <c r="G60" s="82"/>
    </row>
    <row r="61" spans="1:7" ht="63.75" x14ac:dyDescent="0.2">
      <c r="A61" s="84" t="s">
        <v>377</v>
      </c>
      <c r="B61" s="85" t="s">
        <v>378</v>
      </c>
      <c r="C61" s="81" t="s">
        <v>379</v>
      </c>
      <c r="D61" s="86">
        <v>44924</v>
      </c>
      <c r="E61" s="81"/>
      <c r="F61" s="83"/>
      <c r="G61" s="82"/>
    </row>
    <row r="62" spans="1:7" ht="89.25" x14ac:dyDescent="0.2">
      <c r="A62" s="84" t="s">
        <v>380</v>
      </c>
      <c r="B62" s="85" t="s">
        <v>381</v>
      </c>
      <c r="C62" s="81" t="s">
        <v>382</v>
      </c>
      <c r="D62" s="86">
        <v>45366</v>
      </c>
      <c r="E62" s="81"/>
      <c r="F62" s="83"/>
      <c r="G62" s="82"/>
    </row>
    <row r="63" spans="1:7" ht="38.25" x14ac:dyDescent="0.2">
      <c r="A63" s="84" t="s">
        <v>383</v>
      </c>
      <c r="B63" s="85" t="s">
        <v>247</v>
      </c>
      <c r="C63" s="81" t="s">
        <v>384</v>
      </c>
      <c r="D63" s="86">
        <v>45349</v>
      </c>
      <c r="E63" s="81">
        <v>33</v>
      </c>
      <c r="F63" s="83">
        <v>5.3000000000000001E-7</v>
      </c>
      <c r="G63" s="82"/>
    </row>
    <row r="64" spans="1:7" ht="89.25" x14ac:dyDescent="0.2">
      <c r="A64" s="77" t="s">
        <v>385</v>
      </c>
      <c r="B64" s="85" t="s">
        <v>386</v>
      </c>
      <c r="C64" s="79" t="s">
        <v>387</v>
      </c>
      <c r="D64" s="80">
        <v>44944</v>
      </c>
      <c r="E64" s="81"/>
      <c r="F64" s="83"/>
      <c r="G64" s="82"/>
    </row>
    <row r="65" spans="1:7" ht="38.25" x14ac:dyDescent="0.2">
      <c r="A65" s="84" t="s">
        <v>388</v>
      </c>
      <c r="B65" s="85" t="s">
        <v>247</v>
      </c>
      <c r="C65" s="81" t="s">
        <v>389</v>
      </c>
      <c r="D65" s="86">
        <v>44187</v>
      </c>
      <c r="E65" s="81"/>
      <c r="F65" s="83"/>
      <c r="G65" s="82"/>
    </row>
    <row r="66" spans="1:7" ht="38.25" x14ac:dyDescent="0.2">
      <c r="A66" s="87" t="s">
        <v>390</v>
      </c>
      <c r="B66" s="88" t="s">
        <v>247</v>
      </c>
      <c r="C66" s="89" t="s">
        <v>391</v>
      </c>
      <c r="D66" s="90">
        <v>44738</v>
      </c>
      <c r="E66" s="81">
        <v>33</v>
      </c>
      <c r="F66" s="83">
        <v>5.3000000000000001E-7</v>
      </c>
      <c r="G66" s="82"/>
    </row>
    <row r="67" spans="1:7" ht="127.5" x14ac:dyDescent="0.2">
      <c r="A67" s="87" t="s">
        <v>392</v>
      </c>
      <c r="B67" s="88" t="s">
        <v>393</v>
      </c>
      <c r="C67" s="92" t="s">
        <v>394</v>
      </c>
      <c r="D67" s="90">
        <v>44145</v>
      </c>
      <c r="E67" s="81"/>
      <c r="F67" s="83"/>
      <c r="G67" s="82"/>
    </row>
    <row r="68" spans="1:7" ht="102" x14ac:dyDescent="0.2">
      <c r="A68" s="87" t="s">
        <v>395</v>
      </c>
      <c r="B68" s="88" t="s">
        <v>396</v>
      </c>
      <c r="C68" s="92" t="s">
        <v>397</v>
      </c>
      <c r="D68" s="90">
        <v>44735</v>
      </c>
      <c r="E68" s="81"/>
      <c r="F68" s="83"/>
      <c r="G68" s="82"/>
    </row>
    <row r="69" spans="1:7" ht="51" x14ac:dyDescent="0.2">
      <c r="A69" s="84" t="s">
        <v>398</v>
      </c>
      <c r="B69" s="85" t="s">
        <v>250</v>
      </c>
      <c r="C69" s="81" t="s">
        <v>399</v>
      </c>
      <c r="D69" s="86" t="s">
        <v>400</v>
      </c>
      <c r="E69" s="81"/>
      <c r="F69" s="83"/>
      <c r="G69" s="82"/>
    </row>
    <row r="70" spans="1:7" ht="51" x14ac:dyDescent="0.2">
      <c r="A70" s="87" t="s">
        <v>401</v>
      </c>
      <c r="B70" s="88" t="s">
        <v>250</v>
      </c>
      <c r="C70" s="89" t="s">
        <v>402</v>
      </c>
      <c r="D70" s="90">
        <v>44011</v>
      </c>
      <c r="E70" s="81">
        <v>142</v>
      </c>
      <c r="F70" s="83">
        <v>2.2900000000000001E-6</v>
      </c>
      <c r="G70" s="82"/>
    </row>
    <row r="71" spans="1:7" ht="102" x14ac:dyDescent="0.2">
      <c r="A71" s="87" t="s">
        <v>403</v>
      </c>
      <c r="B71" s="88" t="s">
        <v>276</v>
      </c>
      <c r="C71" s="89" t="s">
        <v>405</v>
      </c>
      <c r="D71" s="90">
        <v>44637</v>
      </c>
      <c r="E71" s="81"/>
      <c r="F71" s="83"/>
      <c r="G71" s="82"/>
    </row>
    <row r="72" spans="1:7" ht="38.25" x14ac:dyDescent="0.2">
      <c r="A72" s="77" t="s">
        <v>406</v>
      </c>
      <c r="B72" s="78" t="s">
        <v>247</v>
      </c>
      <c r="C72" s="79" t="s">
        <v>407</v>
      </c>
      <c r="D72" s="80">
        <v>44720</v>
      </c>
      <c r="E72" s="81"/>
      <c r="F72" s="83"/>
      <c r="G72" s="82"/>
    </row>
    <row r="73" spans="1:7" ht="76.5" x14ac:dyDescent="0.2">
      <c r="A73" s="84" t="s">
        <v>408</v>
      </c>
      <c r="B73" s="85" t="s">
        <v>409</v>
      </c>
      <c r="C73" s="81" t="s">
        <v>410</v>
      </c>
      <c r="D73" s="86">
        <v>44616</v>
      </c>
      <c r="E73" s="81"/>
      <c r="F73" s="83"/>
      <c r="G73" s="82"/>
    </row>
    <row r="74" spans="1:7" ht="51" x14ac:dyDescent="0.2">
      <c r="A74" s="84" t="s">
        <v>411</v>
      </c>
      <c r="B74" s="85" t="s">
        <v>412</v>
      </c>
      <c r="C74" s="81" t="s">
        <v>413</v>
      </c>
      <c r="D74" s="86">
        <v>44173</v>
      </c>
      <c r="E74" s="81"/>
      <c r="F74" s="83"/>
      <c r="G74" s="82"/>
    </row>
    <row r="75" spans="1:7" ht="38.25" x14ac:dyDescent="0.2">
      <c r="A75" s="84" t="s">
        <v>414</v>
      </c>
      <c r="B75" s="85" t="s">
        <v>247</v>
      </c>
      <c r="C75" s="81" t="s">
        <v>415</v>
      </c>
      <c r="D75" s="86">
        <v>44483</v>
      </c>
      <c r="E75" s="81"/>
      <c r="F75" s="83"/>
      <c r="G75" s="82"/>
    </row>
    <row r="76" spans="1:7" ht="89.25" x14ac:dyDescent="0.2">
      <c r="A76" s="84" t="s">
        <v>416</v>
      </c>
      <c r="B76" s="85" t="s">
        <v>417</v>
      </c>
      <c r="C76" s="81" t="s">
        <v>418</v>
      </c>
      <c r="D76" s="86">
        <v>44378</v>
      </c>
      <c r="E76" s="81"/>
      <c r="F76" s="83"/>
      <c r="G76" s="82"/>
    </row>
    <row r="77" spans="1:7" ht="38.25" x14ac:dyDescent="0.2">
      <c r="A77" s="87" t="s">
        <v>419</v>
      </c>
      <c r="B77" s="88" t="s">
        <v>247</v>
      </c>
      <c r="C77" s="89" t="s">
        <v>420</v>
      </c>
      <c r="D77" s="90">
        <v>44545</v>
      </c>
      <c r="E77" s="81">
        <v>16</v>
      </c>
      <c r="F77" s="83">
        <v>2.6E-7</v>
      </c>
      <c r="G77" s="82"/>
    </row>
    <row r="78" spans="1:7" ht="51" x14ac:dyDescent="0.2">
      <c r="A78" s="84" t="s">
        <v>421</v>
      </c>
      <c r="B78" s="85" t="s">
        <v>422</v>
      </c>
      <c r="C78" s="81" t="s">
        <v>423</v>
      </c>
      <c r="D78" s="98">
        <v>44860</v>
      </c>
      <c r="E78" s="81"/>
      <c r="F78" s="83"/>
      <c r="G78" s="82"/>
    </row>
    <row r="79" spans="1:7" ht="63.75" x14ac:dyDescent="0.2">
      <c r="A79" s="84" t="s">
        <v>424</v>
      </c>
      <c r="B79" s="85" t="s">
        <v>425</v>
      </c>
      <c r="C79" s="81" t="s">
        <v>426</v>
      </c>
      <c r="D79" s="86">
        <v>44528</v>
      </c>
      <c r="E79" s="81"/>
      <c r="F79" s="83"/>
      <c r="G79" s="82"/>
    </row>
    <row r="80" spans="1:7" ht="89.25" x14ac:dyDescent="0.2">
      <c r="A80" s="77" t="s">
        <v>427</v>
      </c>
      <c r="B80" s="78" t="s">
        <v>428</v>
      </c>
      <c r="C80" s="79" t="s">
        <v>840</v>
      </c>
      <c r="D80" s="80">
        <v>45650</v>
      </c>
      <c r="E80" s="81"/>
      <c r="F80" s="83"/>
      <c r="G80" s="82"/>
    </row>
    <row r="81" spans="1:7" ht="51" x14ac:dyDescent="0.2">
      <c r="A81" s="77" t="s">
        <v>429</v>
      </c>
      <c r="B81" s="78" t="s">
        <v>430</v>
      </c>
      <c r="C81" s="79" t="s">
        <v>431</v>
      </c>
      <c r="D81" s="80">
        <v>45236</v>
      </c>
      <c r="E81" s="81"/>
      <c r="F81" s="83"/>
      <c r="G81" s="82"/>
    </row>
    <row r="82" spans="1:7" ht="76.5" x14ac:dyDescent="0.2">
      <c r="A82" s="77" t="s">
        <v>432</v>
      </c>
      <c r="B82" s="78" t="s">
        <v>285</v>
      </c>
      <c r="C82" s="79" t="s">
        <v>433</v>
      </c>
      <c r="D82" s="80">
        <v>44616</v>
      </c>
      <c r="E82" s="99"/>
      <c r="F82" s="83"/>
      <c r="G82" s="82"/>
    </row>
    <row r="83" spans="1:7" ht="25.5" x14ac:dyDescent="0.2">
      <c r="A83" s="84" t="s">
        <v>434</v>
      </c>
      <c r="B83" s="85" t="s">
        <v>435</v>
      </c>
      <c r="C83" s="81" t="s">
        <v>436</v>
      </c>
      <c r="D83" s="86">
        <v>45254</v>
      </c>
      <c r="E83" s="81"/>
      <c r="F83" s="83"/>
      <c r="G83" s="82"/>
    </row>
    <row r="84" spans="1:7" ht="63.75" x14ac:dyDescent="0.2">
      <c r="A84" s="84" t="s">
        <v>437</v>
      </c>
      <c r="B84" s="85" t="s">
        <v>438</v>
      </c>
      <c r="C84" s="81" t="s">
        <v>439</v>
      </c>
      <c r="D84" s="86">
        <v>43979</v>
      </c>
      <c r="E84" s="81"/>
      <c r="F84" s="83"/>
      <c r="G84" s="82"/>
    </row>
    <row r="85" spans="1:7" ht="63.75" x14ac:dyDescent="0.2">
      <c r="A85" s="87" t="s">
        <v>440</v>
      </c>
      <c r="B85" s="88" t="s">
        <v>441</v>
      </c>
      <c r="C85" s="89" t="s">
        <v>442</v>
      </c>
      <c r="D85" s="90">
        <v>44417</v>
      </c>
      <c r="E85" s="81"/>
      <c r="F85" s="83"/>
      <c r="G85" s="82"/>
    </row>
    <row r="86" spans="1:7" ht="51" x14ac:dyDescent="0.2">
      <c r="A86" s="77" t="s">
        <v>443</v>
      </c>
      <c r="B86" s="100" t="s">
        <v>292</v>
      </c>
      <c r="C86" s="93" t="s">
        <v>444</v>
      </c>
      <c r="D86" s="95">
        <v>44985</v>
      </c>
      <c r="E86" s="81"/>
      <c r="F86" s="83"/>
      <c r="G86" s="82"/>
    </row>
    <row r="87" spans="1:7" ht="63.75" x14ac:dyDescent="0.2">
      <c r="A87" s="77" t="s">
        <v>445</v>
      </c>
      <c r="B87" s="85" t="s">
        <v>446</v>
      </c>
      <c r="C87" s="79" t="s">
        <v>447</v>
      </c>
      <c r="D87" s="80">
        <v>44861</v>
      </c>
      <c r="E87" s="81"/>
      <c r="F87" s="83"/>
      <c r="G87" s="82"/>
    </row>
    <row r="88" spans="1:7" ht="51" x14ac:dyDescent="0.2">
      <c r="A88" s="84" t="s">
        <v>448</v>
      </c>
      <c r="B88" s="85" t="s">
        <v>250</v>
      </c>
      <c r="C88" s="81" t="s">
        <v>449</v>
      </c>
      <c r="D88" s="86">
        <v>44755</v>
      </c>
      <c r="E88" s="81">
        <v>20</v>
      </c>
      <c r="F88" s="83">
        <v>3.2000000000000001E-7</v>
      </c>
      <c r="G88" s="82"/>
    </row>
    <row r="89" spans="1:7" ht="76.5" x14ac:dyDescent="0.2">
      <c r="A89" s="84" t="s">
        <v>450</v>
      </c>
      <c r="B89" s="85" t="s">
        <v>451</v>
      </c>
      <c r="C89" s="81" t="s">
        <v>841</v>
      </c>
      <c r="D89" s="86">
        <v>45585</v>
      </c>
      <c r="E89" s="81"/>
      <c r="F89" s="83"/>
      <c r="G89" s="82"/>
    </row>
    <row r="90" spans="1:7" ht="140.25" x14ac:dyDescent="0.2">
      <c r="A90" s="84" t="s">
        <v>452</v>
      </c>
      <c r="B90" s="85" t="s">
        <v>453</v>
      </c>
      <c r="C90" s="81" t="s">
        <v>454</v>
      </c>
      <c r="D90" s="86">
        <v>44854</v>
      </c>
      <c r="E90" s="81"/>
      <c r="F90" s="83"/>
      <c r="G90" s="82"/>
    </row>
    <row r="91" spans="1:7" ht="76.5" x14ac:dyDescent="0.2">
      <c r="A91" s="77" t="s">
        <v>455</v>
      </c>
      <c r="B91" s="78" t="s">
        <v>456</v>
      </c>
      <c r="C91" s="79" t="s">
        <v>457</v>
      </c>
      <c r="D91" s="80">
        <v>45013</v>
      </c>
      <c r="E91" s="81"/>
      <c r="F91" s="83"/>
      <c r="G91" s="82"/>
    </row>
    <row r="92" spans="1:7" ht="76.5" x14ac:dyDescent="0.2">
      <c r="A92" s="84" t="s">
        <v>458</v>
      </c>
      <c r="B92" s="85" t="s">
        <v>459</v>
      </c>
      <c r="C92" s="81" t="s">
        <v>460</v>
      </c>
      <c r="D92" s="86">
        <v>44713</v>
      </c>
      <c r="E92" s="81"/>
      <c r="F92" s="83"/>
      <c r="G92" s="82" t="s">
        <v>278</v>
      </c>
    </row>
    <row r="93" spans="1:7" ht="51" x14ac:dyDescent="0.2">
      <c r="A93" s="77" t="s">
        <v>461</v>
      </c>
      <c r="B93" s="78" t="s">
        <v>250</v>
      </c>
      <c r="C93" s="79" t="s">
        <v>462</v>
      </c>
      <c r="D93" s="80">
        <v>45011</v>
      </c>
      <c r="E93" s="81"/>
      <c r="F93" s="83"/>
      <c r="G93" s="82"/>
    </row>
    <row r="94" spans="1:7" ht="89.25" x14ac:dyDescent="0.2">
      <c r="A94" s="101" t="s">
        <v>463</v>
      </c>
      <c r="B94" s="102" t="s">
        <v>386</v>
      </c>
      <c r="C94" s="103" t="s">
        <v>464</v>
      </c>
      <c r="D94" s="86">
        <v>44846</v>
      </c>
      <c r="E94" s="81"/>
      <c r="F94" s="83"/>
      <c r="G94" s="82"/>
    </row>
    <row r="95" spans="1:7" ht="38.25" x14ac:dyDescent="0.2">
      <c r="A95" s="84" t="s">
        <v>465</v>
      </c>
      <c r="B95" s="85" t="s">
        <v>466</v>
      </c>
      <c r="C95" s="81" t="s">
        <v>467</v>
      </c>
      <c r="D95" s="86">
        <v>44718</v>
      </c>
      <c r="E95" s="81"/>
      <c r="F95" s="83"/>
      <c r="G95" s="82"/>
    </row>
    <row r="96" spans="1:7" ht="76.5" x14ac:dyDescent="0.2">
      <c r="A96" s="84" t="s">
        <v>842</v>
      </c>
      <c r="B96" s="85" t="s">
        <v>843</v>
      </c>
      <c r="C96" s="81" t="s">
        <v>844</v>
      </c>
      <c r="D96" s="86">
        <v>45569</v>
      </c>
      <c r="E96" s="81"/>
      <c r="F96" s="83"/>
      <c r="G96" s="82"/>
    </row>
    <row r="97" spans="1:7" ht="102" x14ac:dyDescent="0.2">
      <c r="A97" s="84" t="s">
        <v>802</v>
      </c>
      <c r="B97" s="85" t="s">
        <v>803</v>
      </c>
      <c r="C97" s="81" t="s">
        <v>804</v>
      </c>
      <c r="D97" s="86">
        <v>45445</v>
      </c>
      <c r="E97" s="81"/>
      <c r="F97" s="83"/>
      <c r="G97" s="82"/>
    </row>
    <row r="98" spans="1:7" ht="38.25" x14ac:dyDescent="0.2">
      <c r="A98" s="77" t="s">
        <v>468</v>
      </c>
      <c r="B98" s="78" t="s">
        <v>247</v>
      </c>
      <c r="C98" s="81" t="s">
        <v>469</v>
      </c>
      <c r="D98" s="80">
        <v>44361</v>
      </c>
      <c r="E98" s="81"/>
      <c r="F98" s="83"/>
      <c r="G98" s="82"/>
    </row>
    <row r="99" spans="1:7" ht="38.25" x14ac:dyDescent="0.2">
      <c r="A99" s="77" t="s">
        <v>470</v>
      </c>
      <c r="B99" s="78" t="s">
        <v>247</v>
      </c>
      <c r="C99" s="81" t="s">
        <v>471</v>
      </c>
      <c r="D99" s="80">
        <v>43972</v>
      </c>
      <c r="E99" s="81"/>
      <c r="F99" s="83"/>
      <c r="G99" s="82"/>
    </row>
    <row r="100" spans="1:7" ht="63.75" x14ac:dyDescent="0.2">
      <c r="A100" s="104" t="s">
        <v>472</v>
      </c>
      <c r="B100" s="105" t="s">
        <v>473</v>
      </c>
      <c r="C100" s="106" t="s">
        <v>474</v>
      </c>
      <c r="D100" s="95">
        <v>44126</v>
      </c>
      <c r="E100" s="81">
        <v>1</v>
      </c>
      <c r="F100" s="83">
        <v>2E-8</v>
      </c>
      <c r="G100" s="82"/>
    </row>
    <row r="101" spans="1:7" ht="76.5" x14ac:dyDescent="0.2">
      <c r="A101" s="104" t="s">
        <v>475</v>
      </c>
      <c r="B101" s="105" t="s">
        <v>287</v>
      </c>
      <c r="C101" s="106" t="s">
        <v>476</v>
      </c>
      <c r="D101" s="95">
        <v>44924</v>
      </c>
      <c r="E101" s="81"/>
      <c r="F101" s="83"/>
      <c r="G101" s="82"/>
    </row>
    <row r="102" spans="1:7" ht="38.25" x14ac:dyDescent="0.2">
      <c r="A102" s="77" t="s">
        <v>477</v>
      </c>
      <c r="B102" s="85" t="s">
        <v>247</v>
      </c>
      <c r="C102" s="79" t="s">
        <v>478</v>
      </c>
      <c r="D102" s="80">
        <v>43972</v>
      </c>
      <c r="E102" s="81">
        <v>1</v>
      </c>
      <c r="F102" s="83">
        <v>2E-8</v>
      </c>
      <c r="G102" s="82"/>
    </row>
    <row r="103" spans="1:7" ht="89.25" x14ac:dyDescent="0.2">
      <c r="A103" s="84" t="s">
        <v>479</v>
      </c>
      <c r="B103" s="85" t="s">
        <v>829</v>
      </c>
      <c r="C103" s="81" t="s">
        <v>480</v>
      </c>
      <c r="D103" s="86">
        <v>44902</v>
      </c>
      <c r="E103" s="81"/>
      <c r="F103" s="83"/>
      <c r="G103" s="82"/>
    </row>
    <row r="104" spans="1:7" ht="38.25" x14ac:dyDescent="0.2">
      <c r="A104" s="87" t="s">
        <v>481</v>
      </c>
      <c r="B104" s="88" t="s">
        <v>247</v>
      </c>
      <c r="C104" s="89" t="s">
        <v>482</v>
      </c>
      <c r="D104" s="90">
        <v>44483</v>
      </c>
      <c r="E104" s="81">
        <v>8</v>
      </c>
      <c r="F104" s="83">
        <v>1.3E-7</v>
      </c>
      <c r="G104" s="82"/>
    </row>
    <row r="105" spans="1:7" ht="89.25" x14ac:dyDescent="0.2">
      <c r="A105" s="87" t="s">
        <v>805</v>
      </c>
      <c r="B105" s="88" t="s">
        <v>495</v>
      </c>
      <c r="C105" s="89" t="s">
        <v>806</v>
      </c>
      <c r="D105" s="90">
        <v>45467</v>
      </c>
      <c r="E105" s="81"/>
      <c r="F105" s="83"/>
      <c r="G105" s="82"/>
    </row>
    <row r="106" spans="1:7" ht="38.25" x14ac:dyDescent="0.2">
      <c r="A106" s="77" t="s">
        <v>483</v>
      </c>
      <c r="B106" s="78" t="s">
        <v>247</v>
      </c>
      <c r="C106" s="79" t="s">
        <v>484</v>
      </c>
      <c r="D106" s="80">
        <v>44514</v>
      </c>
      <c r="E106" s="81"/>
      <c r="F106" s="83"/>
      <c r="G106" s="82"/>
    </row>
    <row r="107" spans="1:7" ht="76.5" x14ac:dyDescent="0.2">
      <c r="A107" s="101" t="s">
        <v>485</v>
      </c>
      <c r="B107" s="102" t="s">
        <v>351</v>
      </c>
      <c r="C107" s="103" t="s">
        <v>486</v>
      </c>
      <c r="D107" s="86">
        <v>44924</v>
      </c>
      <c r="E107" s="81"/>
      <c r="F107" s="83"/>
      <c r="G107" s="82"/>
    </row>
    <row r="108" spans="1:7" ht="38.25" x14ac:dyDescent="0.2">
      <c r="A108" s="84" t="s">
        <v>487</v>
      </c>
      <c r="B108" s="85" t="s">
        <v>247</v>
      </c>
      <c r="C108" s="81" t="s">
        <v>488</v>
      </c>
      <c r="D108" s="86">
        <v>44126</v>
      </c>
      <c r="E108" s="81"/>
      <c r="F108" s="83"/>
      <c r="G108" s="82"/>
    </row>
    <row r="109" spans="1:7" ht="63.75" x14ac:dyDescent="0.2">
      <c r="A109" s="77" t="s">
        <v>489</v>
      </c>
      <c r="B109" s="78" t="s">
        <v>490</v>
      </c>
      <c r="C109" s="81" t="s">
        <v>491</v>
      </c>
      <c r="D109" s="86">
        <v>44385</v>
      </c>
      <c r="E109" s="81"/>
      <c r="F109" s="83"/>
      <c r="G109" s="82"/>
    </row>
    <row r="110" spans="1:7" ht="140.25" x14ac:dyDescent="0.2">
      <c r="A110" s="77" t="s">
        <v>492</v>
      </c>
      <c r="B110" s="78" t="s">
        <v>828</v>
      </c>
      <c r="C110" s="79" t="s">
        <v>493</v>
      </c>
      <c r="D110" s="80">
        <v>43887</v>
      </c>
      <c r="E110" s="81"/>
      <c r="F110" s="83"/>
      <c r="G110" s="82"/>
    </row>
    <row r="111" spans="1:7" ht="89.25" x14ac:dyDescent="0.2">
      <c r="A111" s="84" t="s">
        <v>494</v>
      </c>
      <c r="B111" s="85" t="s">
        <v>495</v>
      </c>
      <c r="C111" s="81" t="s">
        <v>845</v>
      </c>
      <c r="D111" s="86">
        <v>45634</v>
      </c>
      <c r="E111" s="81">
        <v>1</v>
      </c>
      <c r="F111" s="83">
        <v>2E-8</v>
      </c>
      <c r="G111" s="82"/>
    </row>
    <row r="112" spans="1:7" ht="51" x14ac:dyDescent="0.2">
      <c r="A112" s="77" t="s">
        <v>496</v>
      </c>
      <c r="B112" s="78" t="s">
        <v>292</v>
      </c>
      <c r="C112" s="79" t="s">
        <v>497</v>
      </c>
      <c r="D112" s="80">
        <v>45031</v>
      </c>
      <c r="E112" s="81"/>
      <c r="F112" s="83"/>
      <c r="G112" s="82"/>
    </row>
    <row r="113" spans="1:7" ht="89.25" x14ac:dyDescent="0.2">
      <c r="A113" s="77" t="s">
        <v>498</v>
      </c>
      <c r="B113" s="78" t="s">
        <v>266</v>
      </c>
      <c r="C113" s="79" t="s">
        <v>499</v>
      </c>
      <c r="D113" s="95">
        <v>44741</v>
      </c>
      <c r="E113" s="81"/>
      <c r="F113" s="83"/>
      <c r="G113" s="82"/>
    </row>
    <row r="114" spans="1:7" ht="63.75" x14ac:dyDescent="0.2">
      <c r="A114" s="84" t="s">
        <v>500</v>
      </c>
      <c r="B114" s="85" t="s">
        <v>501</v>
      </c>
      <c r="C114" s="81" t="s">
        <v>502</v>
      </c>
      <c r="D114" s="86">
        <v>44594</v>
      </c>
      <c r="E114" s="81"/>
      <c r="F114" s="83"/>
      <c r="G114" s="82" t="s">
        <v>278</v>
      </c>
    </row>
    <row r="115" spans="1:7" ht="76.5" x14ac:dyDescent="0.2">
      <c r="A115" s="84" t="s">
        <v>503</v>
      </c>
      <c r="B115" s="85" t="s">
        <v>504</v>
      </c>
      <c r="C115" s="92" t="s">
        <v>505</v>
      </c>
      <c r="D115" s="86">
        <v>44118</v>
      </c>
      <c r="E115" s="81"/>
      <c r="F115" s="83"/>
      <c r="G115" s="82" t="s">
        <v>278</v>
      </c>
    </row>
    <row r="116" spans="1:7" ht="89.25" x14ac:dyDescent="0.2">
      <c r="A116" s="84" t="s">
        <v>506</v>
      </c>
      <c r="B116" s="85" t="s">
        <v>368</v>
      </c>
      <c r="C116" s="81" t="s">
        <v>507</v>
      </c>
      <c r="D116" s="86">
        <v>45349</v>
      </c>
      <c r="E116" s="81"/>
      <c r="F116" s="83"/>
      <c r="G116" s="82" t="s">
        <v>278</v>
      </c>
    </row>
    <row r="117" spans="1:7" ht="89.25" x14ac:dyDescent="0.2">
      <c r="A117" s="77" t="s">
        <v>508</v>
      </c>
      <c r="B117" s="78" t="s">
        <v>318</v>
      </c>
      <c r="C117" s="79" t="s">
        <v>509</v>
      </c>
      <c r="D117" s="80">
        <v>44986</v>
      </c>
      <c r="E117" s="81">
        <v>1</v>
      </c>
      <c r="F117" s="83">
        <v>2E-8</v>
      </c>
      <c r="G117" s="82"/>
    </row>
    <row r="118" spans="1:7" ht="51" x14ac:dyDescent="0.2">
      <c r="A118" s="77" t="s">
        <v>510</v>
      </c>
      <c r="B118" s="78" t="s">
        <v>250</v>
      </c>
      <c r="C118" s="79" t="s">
        <v>511</v>
      </c>
      <c r="D118" s="80">
        <v>44637</v>
      </c>
      <c r="E118" s="81"/>
      <c r="F118" s="83"/>
      <c r="G118" s="82"/>
    </row>
    <row r="119" spans="1:7" ht="63.75" x14ac:dyDescent="0.2">
      <c r="A119" s="84" t="s">
        <v>512</v>
      </c>
      <c r="B119" s="85" t="s">
        <v>332</v>
      </c>
      <c r="C119" s="81" t="s">
        <v>513</v>
      </c>
      <c r="D119" s="86">
        <v>44909</v>
      </c>
      <c r="E119" s="81"/>
      <c r="F119" s="83"/>
      <c r="G119" s="82"/>
    </row>
    <row r="120" spans="1:7" ht="89.25" x14ac:dyDescent="0.2">
      <c r="A120" s="87" t="s">
        <v>514</v>
      </c>
      <c r="B120" s="88" t="s">
        <v>515</v>
      </c>
      <c r="C120" s="89" t="s">
        <v>516</v>
      </c>
      <c r="D120" s="90">
        <v>45081</v>
      </c>
      <c r="E120" s="81">
        <v>5</v>
      </c>
      <c r="F120" s="83">
        <v>8.0000000000000002E-8</v>
      </c>
      <c r="G120" s="82"/>
    </row>
    <row r="121" spans="1:7" ht="229.5" x14ac:dyDescent="0.2">
      <c r="A121" s="77" t="s">
        <v>517</v>
      </c>
      <c r="B121" s="85" t="s">
        <v>518</v>
      </c>
      <c r="C121" s="79" t="s">
        <v>519</v>
      </c>
      <c r="D121" s="80">
        <v>43880</v>
      </c>
      <c r="E121" s="81">
        <v>1</v>
      </c>
      <c r="F121" s="83">
        <v>2E-8</v>
      </c>
      <c r="G121" s="82"/>
    </row>
    <row r="122" spans="1:7" ht="76.5" x14ac:dyDescent="0.2">
      <c r="A122" s="84" t="s">
        <v>520</v>
      </c>
      <c r="B122" s="85" t="s">
        <v>351</v>
      </c>
      <c r="C122" s="81" t="s">
        <v>521</v>
      </c>
      <c r="D122" s="86">
        <v>44678</v>
      </c>
      <c r="E122" s="81"/>
      <c r="F122" s="83"/>
      <c r="G122" s="82"/>
    </row>
    <row r="123" spans="1:7" ht="89.25" x14ac:dyDescent="0.2">
      <c r="A123" s="84" t="s">
        <v>807</v>
      </c>
      <c r="B123" s="85" t="s">
        <v>819</v>
      </c>
      <c r="C123" s="81" t="s">
        <v>808</v>
      </c>
      <c r="D123" s="86">
        <v>45467</v>
      </c>
      <c r="E123" s="81"/>
      <c r="F123" s="83"/>
      <c r="G123" s="82"/>
    </row>
    <row r="124" spans="1:7" ht="51" x14ac:dyDescent="0.2">
      <c r="A124" s="77" t="s">
        <v>522</v>
      </c>
      <c r="B124" s="85" t="s">
        <v>292</v>
      </c>
      <c r="C124" s="79" t="s">
        <v>523</v>
      </c>
      <c r="D124" s="80">
        <v>43880</v>
      </c>
      <c r="E124" s="81">
        <v>1</v>
      </c>
      <c r="F124" s="83">
        <v>2E-8</v>
      </c>
      <c r="G124" s="82"/>
    </row>
    <row r="125" spans="1:7" ht="76.5" x14ac:dyDescent="0.2">
      <c r="A125" s="77" t="s">
        <v>524</v>
      </c>
      <c r="B125" s="85" t="s">
        <v>409</v>
      </c>
      <c r="C125" s="79" t="s">
        <v>525</v>
      </c>
      <c r="D125" s="80">
        <v>44924</v>
      </c>
      <c r="E125" s="81"/>
      <c r="F125" s="83"/>
      <c r="G125" s="82"/>
    </row>
    <row r="126" spans="1:7" ht="89.25" x14ac:dyDescent="0.2">
      <c r="A126" s="84" t="s">
        <v>526</v>
      </c>
      <c r="B126" s="85" t="s">
        <v>368</v>
      </c>
      <c r="C126" s="81" t="s">
        <v>527</v>
      </c>
      <c r="D126" s="86">
        <v>44924</v>
      </c>
      <c r="E126" s="81"/>
      <c r="F126" s="83"/>
      <c r="G126" s="82"/>
    </row>
    <row r="127" spans="1:7" ht="51" x14ac:dyDescent="0.2">
      <c r="A127" s="84" t="s">
        <v>528</v>
      </c>
      <c r="B127" s="85" t="s">
        <v>250</v>
      </c>
      <c r="C127" s="81" t="s">
        <v>529</v>
      </c>
      <c r="D127" s="86">
        <v>44472</v>
      </c>
      <c r="E127" s="81">
        <v>1</v>
      </c>
      <c r="F127" s="83">
        <v>2E-8</v>
      </c>
      <c r="G127" s="82"/>
    </row>
    <row r="128" spans="1:7" ht="63.75" x14ac:dyDescent="0.2">
      <c r="A128" s="77" t="s">
        <v>530</v>
      </c>
      <c r="B128" s="78" t="s">
        <v>273</v>
      </c>
      <c r="C128" s="79" t="s">
        <v>531</v>
      </c>
      <c r="D128" s="80">
        <v>44616</v>
      </c>
      <c r="E128" s="81"/>
      <c r="F128" s="83"/>
      <c r="G128" s="82"/>
    </row>
    <row r="129" spans="1:7" ht="38.25" x14ac:dyDescent="0.2">
      <c r="A129" s="77" t="s">
        <v>532</v>
      </c>
      <c r="B129" s="78" t="s">
        <v>247</v>
      </c>
      <c r="C129" s="81" t="s">
        <v>533</v>
      </c>
      <c r="D129" s="80">
        <v>44979</v>
      </c>
      <c r="E129" s="81"/>
      <c r="F129" s="83"/>
      <c r="G129" s="82"/>
    </row>
    <row r="130" spans="1:7" ht="114.75" x14ac:dyDescent="0.2">
      <c r="A130" s="84" t="s">
        <v>534</v>
      </c>
      <c r="B130" s="85" t="s">
        <v>535</v>
      </c>
      <c r="C130" s="81" t="s">
        <v>536</v>
      </c>
      <c r="D130" s="86">
        <v>44367</v>
      </c>
      <c r="E130" s="81"/>
      <c r="F130" s="83"/>
      <c r="G130" s="82"/>
    </row>
    <row r="131" spans="1:7" ht="63.75" x14ac:dyDescent="0.2">
      <c r="A131" s="84" t="s">
        <v>537</v>
      </c>
      <c r="B131" s="85" t="s">
        <v>332</v>
      </c>
      <c r="C131" s="81" t="s">
        <v>538</v>
      </c>
      <c r="D131" s="86">
        <v>44552</v>
      </c>
      <c r="E131" s="81"/>
      <c r="F131" s="83"/>
      <c r="G131" s="82"/>
    </row>
    <row r="132" spans="1:7" ht="51" x14ac:dyDescent="0.2">
      <c r="A132" s="77" t="s">
        <v>539</v>
      </c>
      <c r="B132" s="85" t="s">
        <v>250</v>
      </c>
      <c r="C132" s="79" t="s">
        <v>540</v>
      </c>
      <c r="D132" s="80">
        <v>44748</v>
      </c>
      <c r="E132" s="81"/>
      <c r="F132" s="83"/>
      <c r="G132" s="82"/>
    </row>
    <row r="133" spans="1:7" ht="89.25" x14ac:dyDescent="0.2">
      <c r="A133" s="107" t="s">
        <v>541</v>
      </c>
      <c r="B133" s="108" t="s">
        <v>542</v>
      </c>
      <c r="C133" s="81" t="s">
        <v>543</v>
      </c>
      <c r="D133" s="86">
        <v>44854</v>
      </c>
      <c r="E133" s="81">
        <v>4</v>
      </c>
      <c r="F133" s="83">
        <v>5.9999999999999995E-8</v>
      </c>
      <c r="G133" s="82"/>
    </row>
    <row r="134" spans="1:7" ht="38.25" x14ac:dyDescent="0.2">
      <c r="A134" s="84" t="s">
        <v>544</v>
      </c>
      <c r="B134" s="85" t="s">
        <v>247</v>
      </c>
      <c r="C134" s="81" t="s">
        <v>545</v>
      </c>
      <c r="D134" s="86">
        <v>45076</v>
      </c>
      <c r="E134" s="81">
        <v>48</v>
      </c>
      <c r="F134" s="83">
        <v>7.7000000000000004E-7</v>
      </c>
      <c r="G134" s="82"/>
    </row>
    <row r="135" spans="1:7" ht="102" x14ac:dyDescent="0.2">
      <c r="A135" s="84" t="s">
        <v>546</v>
      </c>
      <c r="B135" s="85" t="s">
        <v>547</v>
      </c>
      <c r="C135" s="81" t="s">
        <v>548</v>
      </c>
      <c r="D135" s="86">
        <v>44137</v>
      </c>
      <c r="E135" s="81"/>
      <c r="F135" s="83"/>
      <c r="G135" s="82"/>
    </row>
    <row r="136" spans="1:7" ht="89.25" x14ac:dyDescent="0.2">
      <c r="A136" s="84" t="s">
        <v>549</v>
      </c>
      <c r="B136" s="85" t="s">
        <v>550</v>
      </c>
      <c r="C136" s="81" t="s">
        <v>551</v>
      </c>
      <c r="D136" s="86">
        <v>44683</v>
      </c>
      <c r="E136" s="81"/>
      <c r="F136" s="83"/>
      <c r="G136" s="82"/>
    </row>
    <row r="137" spans="1:7" ht="63.75" x14ac:dyDescent="0.2">
      <c r="A137" s="87" t="s">
        <v>552</v>
      </c>
      <c r="B137" s="88" t="s">
        <v>553</v>
      </c>
      <c r="C137" s="89" t="s">
        <v>846</v>
      </c>
      <c r="D137" s="90">
        <v>45643</v>
      </c>
      <c r="E137" s="81"/>
      <c r="F137" s="83"/>
      <c r="G137" s="82"/>
    </row>
    <row r="138" spans="1:7" ht="89.25" x14ac:dyDescent="0.2">
      <c r="A138" s="87" t="s">
        <v>554</v>
      </c>
      <c r="B138" s="88" t="s">
        <v>515</v>
      </c>
      <c r="C138" s="89" t="s">
        <v>555</v>
      </c>
      <c r="D138" s="90">
        <v>44649</v>
      </c>
      <c r="E138" s="81">
        <v>9</v>
      </c>
      <c r="F138" s="83">
        <v>1.4000000000000001E-7</v>
      </c>
      <c r="G138" s="82"/>
    </row>
    <row r="139" spans="1:7" ht="51" x14ac:dyDescent="0.2">
      <c r="A139" s="84" t="s">
        <v>556</v>
      </c>
      <c r="B139" s="85" t="s">
        <v>557</v>
      </c>
      <c r="C139" s="81" t="s">
        <v>558</v>
      </c>
      <c r="D139" s="86">
        <v>45255</v>
      </c>
      <c r="E139" s="81"/>
      <c r="F139" s="83"/>
      <c r="G139" s="82"/>
    </row>
    <row r="140" spans="1:7" ht="89.25" x14ac:dyDescent="0.2">
      <c r="A140" s="84" t="s">
        <v>559</v>
      </c>
      <c r="B140" s="85" t="s">
        <v>340</v>
      </c>
      <c r="C140" s="81" t="s">
        <v>560</v>
      </c>
      <c r="D140" s="86">
        <v>45209</v>
      </c>
      <c r="E140" s="81"/>
      <c r="F140" s="83"/>
      <c r="G140" s="82"/>
    </row>
    <row r="141" spans="1:7" ht="76.5" x14ac:dyDescent="0.2">
      <c r="A141" s="84" t="s">
        <v>561</v>
      </c>
      <c r="B141" s="85" t="s">
        <v>287</v>
      </c>
      <c r="C141" s="81" t="s">
        <v>562</v>
      </c>
      <c r="D141" s="86">
        <v>44868</v>
      </c>
      <c r="E141" s="81"/>
      <c r="F141" s="83"/>
      <c r="G141" s="82"/>
    </row>
    <row r="142" spans="1:7" ht="51" x14ac:dyDescent="0.2">
      <c r="A142" s="77" t="s">
        <v>563</v>
      </c>
      <c r="B142" s="78" t="s">
        <v>292</v>
      </c>
      <c r="C142" s="79" t="s">
        <v>564</v>
      </c>
      <c r="D142" s="80">
        <v>44692</v>
      </c>
      <c r="E142" s="81"/>
      <c r="F142" s="83"/>
      <c r="G142" s="82"/>
    </row>
    <row r="143" spans="1:7" ht="127.5" x14ac:dyDescent="0.2">
      <c r="A143" s="77" t="s">
        <v>565</v>
      </c>
      <c r="B143" s="78" t="s">
        <v>813</v>
      </c>
      <c r="C143" s="79" t="s">
        <v>566</v>
      </c>
      <c r="D143" s="80">
        <v>44378</v>
      </c>
      <c r="E143" s="81">
        <v>1</v>
      </c>
      <c r="F143" s="83">
        <v>2E-8</v>
      </c>
      <c r="G143" s="82"/>
    </row>
    <row r="144" spans="1:7" ht="51" x14ac:dyDescent="0.2">
      <c r="A144" s="77" t="s">
        <v>567</v>
      </c>
      <c r="B144" s="78" t="s">
        <v>250</v>
      </c>
      <c r="C144" s="109" t="s">
        <v>814</v>
      </c>
      <c r="D144" s="80">
        <v>45497</v>
      </c>
      <c r="E144" s="81"/>
      <c r="F144" s="83"/>
      <c r="G144" s="82"/>
    </row>
    <row r="145" spans="1:7" ht="38.25" x14ac:dyDescent="0.2">
      <c r="A145" s="77" t="s">
        <v>568</v>
      </c>
      <c r="B145" s="78" t="s">
        <v>300</v>
      </c>
      <c r="C145" s="79" t="s">
        <v>569</v>
      </c>
      <c r="D145" s="80">
        <v>44738</v>
      </c>
      <c r="E145" s="81">
        <v>2</v>
      </c>
      <c r="F145" s="83">
        <v>2.9999999999999997E-8</v>
      </c>
      <c r="G145" s="82"/>
    </row>
    <row r="146" spans="1:7" ht="63.75" x14ac:dyDescent="0.2">
      <c r="A146" s="94" t="s">
        <v>570</v>
      </c>
      <c r="B146" s="100" t="s">
        <v>820</v>
      </c>
      <c r="C146" s="93" t="s">
        <v>571</v>
      </c>
      <c r="D146" s="95">
        <v>44888</v>
      </c>
      <c r="E146" s="81"/>
      <c r="F146" s="83"/>
      <c r="G146" s="82"/>
    </row>
    <row r="147" spans="1:7" ht="38.25" x14ac:dyDescent="0.2">
      <c r="A147" s="94" t="s">
        <v>572</v>
      </c>
      <c r="B147" s="100" t="s">
        <v>247</v>
      </c>
      <c r="C147" s="93" t="s">
        <v>573</v>
      </c>
      <c r="D147" s="95">
        <v>44892</v>
      </c>
      <c r="E147" s="81"/>
      <c r="F147" s="83"/>
      <c r="G147" s="82"/>
    </row>
    <row r="148" spans="1:7" ht="38.25" x14ac:dyDescent="0.2">
      <c r="A148" s="94" t="s">
        <v>574</v>
      </c>
      <c r="B148" s="100" t="s">
        <v>821</v>
      </c>
      <c r="C148" s="93" t="s">
        <v>575</v>
      </c>
      <c r="D148" s="95">
        <v>44728</v>
      </c>
      <c r="E148" s="81">
        <v>1</v>
      </c>
      <c r="F148" s="83">
        <v>2E-8</v>
      </c>
      <c r="G148" s="82"/>
    </row>
    <row r="149" spans="1:7" ht="63.75" x14ac:dyDescent="0.2">
      <c r="A149" s="84" t="s">
        <v>576</v>
      </c>
      <c r="B149" s="85" t="s">
        <v>577</v>
      </c>
      <c r="C149" s="81" t="s">
        <v>578</v>
      </c>
      <c r="D149" s="86">
        <v>45076</v>
      </c>
      <c r="E149" s="81">
        <v>32</v>
      </c>
      <c r="F149" s="83">
        <v>5.2E-7</v>
      </c>
      <c r="G149" s="82"/>
    </row>
    <row r="150" spans="1:7" ht="89.25" x14ac:dyDescent="0.2">
      <c r="A150" s="84" t="s">
        <v>847</v>
      </c>
      <c r="B150" s="85" t="s">
        <v>495</v>
      </c>
      <c r="C150" s="81" t="s">
        <v>848</v>
      </c>
      <c r="D150" s="86">
        <v>45569</v>
      </c>
      <c r="E150" s="81"/>
      <c r="F150" s="83"/>
      <c r="G150" s="82"/>
    </row>
    <row r="151" spans="1:7" ht="89.25" x14ac:dyDescent="0.2">
      <c r="A151" s="84" t="s">
        <v>579</v>
      </c>
      <c r="B151" s="85" t="s">
        <v>580</v>
      </c>
      <c r="C151" s="81" t="s">
        <v>581</v>
      </c>
      <c r="D151" s="86">
        <v>45195</v>
      </c>
      <c r="E151" s="81"/>
      <c r="F151" s="83"/>
      <c r="G151" s="82"/>
    </row>
    <row r="152" spans="1:7" ht="51" x14ac:dyDescent="0.2">
      <c r="A152" s="94" t="s">
        <v>582</v>
      </c>
      <c r="B152" s="78" t="s">
        <v>292</v>
      </c>
      <c r="C152" s="93" t="s">
        <v>583</v>
      </c>
      <c r="D152" s="95">
        <v>43946</v>
      </c>
      <c r="E152" s="81"/>
      <c r="F152" s="83"/>
      <c r="G152" s="82"/>
    </row>
    <row r="153" spans="1:7" ht="63.75" x14ac:dyDescent="0.2">
      <c r="A153" s="77" t="s">
        <v>584</v>
      </c>
      <c r="B153" s="85" t="s">
        <v>332</v>
      </c>
      <c r="C153" s="79" t="s">
        <v>585</v>
      </c>
      <c r="D153" s="80">
        <v>43979</v>
      </c>
      <c r="E153" s="81"/>
      <c r="F153" s="83"/>
      <c r="G153" s="82"/>
    </row>
    <row r="154" spans="1:7" ht="38.25" x14ac:dyDescent="0.2">
      <c r="A154" s="84" t="s">
        <v>586</v>
      </c>
      <c r="B154" s="85" t="s">
        <v>247</v>
      </c>
      <c r="C154" s="81" t="s">
        <v>587</v>
      </c>
      <c r="D154" s="86">
        <v>44524</v>
      </c>
      <c r="E154" s="81">
        <v>1</v>
      </c>
      <c r="F154" s="83">
        <v>2E-8</v>
      </c>
      <c r="G154" s="82"/>
    </row>
    <row r="155" spans="1:7" ht="51" x14ac:dyDescent="0.2">
      <c r="A155" s="84" t="s">
        <v>588</v>
      </c>
      <c r="B155" s="85" t="s">
        <v>289</v>
      </c>
      <c r="C155" s="81" t="s">
        <v>589</v>
      </c>
      <c r="D155" s="86">
        <v>44720</v>
      </c>
      <c r="E155" s="81">
        <v>38</v>
      </c>
      <c r="F155" s="83">
        <v>6.0999999999999998E-7</v>
      </c>
      <c r="G155" s="82"/>
    </row>
    <row r="156" spans="1:7" ht="63.75" x14ac:dyDescent="0.2">
      <c r="A156" s="87" t="s">
        <v>590</v>
      </c>
      <c r="B156" s="85" t="s">
        <v>591</v>
      </c>
      <c r="C156" s="89" t="s">
        <v>592</v>
      </c>
      <c r="D156" s="90">
        <v>44483</v>
      </c>
      <c r="E156" s="81"/>
      <c r="F156" s="83"/>
      <c r="G156" s="82"/>
    </row>
    <row r="157" spans="1:7" ht="63.75" x14ac:dyDescent="0.2">
      <c r="A157" s="87" t="s">
        <v>593</v>
      </c>
      <c r="B157" s="85" t="s">
        <v>310</v>
      </c>
      <c r="C157" s="89" t="s">
        <v>594</v>
      </c>
      <c r="D157" s="90">
        <v>44480</v>
      </c>
      <c r="E157" s="81"/>
      <c r="F157" s="83"/>
      <c r="G157" s="82"/>
    </row>
    <row r="158" spans="1:7" ht="51" x14ac:dyDescent="0.2">
      <c r="A158" s="87" t="s">
        <v>595</v>
      </c>
      <c r="B158" s="88" t="s">
        <v>596</v>
      </c>
      <c r="C158" s="90" t="s">
        <v>597</v>
      </c>
      <c r="D158" s="90">
        <v>43979</v>
      </c>
      <c r="E158" s="81"/>
      <c r="F158" s="83"/>
      <c r="G158" s="82"/>
    </row>
    <row r="159" spans="1:7" ht="51" x14ac:dyDescent="0.2">
      <c r="A159" s="87" t="s">
        <v>598</v>
      </c>
      <c r="B159" s="88" t="s">
        <v>289</v>
      </c>
      <c r="C159" s="90" t="s">
        <v>599</v>
      </c>
      <c r="D159" s="90">
        <v>44361</v>
      </c>
      <c r="E159" s="81"/>
      <c r="F159" s="83"/>
      <c r="G159" s="82"/>
    </row>
    <row r="160" spans="1:7" ht="140.25" x14ac:dyDescent="0.2">
      <c r="A160" s="84" t="s">
        <v>600</v>
      </c>
      <c r="B160" s="85" t="s">
        <v>601</v>
      </c>
      <c r="C160" s="81" t="s">
        <v>602</v>
      </c>
      <c r="D160" s="86">
        <v>44741</v>
      </c>
      <c r="E160" s="81"/>
      <c r="F160" s="83"/>
      <c r="G160" s="82"/>
    </row>
    <row r="161" spans="1:7" ht="89.25" x14ac:dyDescent="0.2">
      <c r="A161" s="84" t="s">
        <v>603</v>
      </c>
      <c r="B161" s="85" t="s">
        <v>266</v>
      </c>
      <c r="C161" s="81" t="s">
        <v>604</v>
      </c>
      <c r="D161" s="86">
        <v>45302</v>
      </c>
      <c r="E161" s="81"/>
      <c r="F161" s="83"/>
      <c r="G161" s="82"/>
    </row>
    <row r="162" spans="1:7" ht="38.25" x14ac:dyDescent="0.2">
      <c r="A162" s="77" t="s">
        <v>605</v>
      </c>
      <c r="B162" s="78" t="s">
        <v>247</v>
      </c>
      <c r="C162" s="79" t="s">
        <v>606</v>
      </c>
      <c r="D162" s="80">
        <v>45221</v>
      </c>
      <c r="E162" s="81"/>
      <c r="F162" s="83"/>
      <c r="G162" s="82"/>
    </row>
    <row r="163" spans="1:7" ht="127.5" x14ac:dyDescent="0.2">
      <c r="A163" s="87" t="s">
        <v>607</v>
      </c>
      <c r="B163" s="88" t="s">
        <v>608</v>
      </c>
      <c r="C163" s="89" t="s">
        <v>609</v>
      </c>
      <c r="D163" s="90">
        <v>43887</v>
      </c>
      <c r="E163" s="81"/>
      <c r="F163" s="83"/>
      <c r="G163" s="82"/>
    </row>
    <row r="164" spans="1:7" ht="102" x14ac:dyDescent="0.2">
      <c r="A164" s="84" t="s">
        <v>610</v>
      </c>
      <c r="B164" s="85" t="s">
        <v>276</v>
      </c>
      <c r="C164" s="81" t="s">
        <v>611</v>
      </c>
      <c r="D164" s="86">
        <v>44741</v>
      </c>
      <c r="E164" s="81"/>
      <c r="F164" s="83"/>
      <c r="G164" s="82"/>
    </row>
    <row r="165" spans="1:7" ht="51" x14ac:dyDescent="0.2">
      <c r="A165" s="77" t="s">
        <v>612</v>
      </c>
      <c r="B165" s="78" t="s">
        <v>250</v>
      </c>
      <c r="C165" s="79" t="s">
        <v>613</v>
      </c>
      <c r="D165" s="80">
        <v>44741</v>
      </c>
      <c r="E165" s="99"/>
      <c r="F165" s="83"/>
      <c r="G165" s="82"/>
    </row>
    <row r="166" spans="1:7" ht="89.25" x14ac:dyDescent="0.2">
      <c r="A166" s="77" t="s">
        <v>614</v>
      </c>
      <c r="B166" s="78" t="s">
        <v>615</v>
      </c>
      <c r="C166" s="79" t="s">
        <v>616</v>
      </c>
      <c r="D166" s="80">
        <v>44721</v>
      </c>
      <c r="E166" s="99"/>
      <c r="F166" s="83"/>
      <c r="G166" s="82" t="s">
        <v>278</v>
      </c>
    </row>
    <row r="167" spans="1:7" ht="51" x14ac:dyDescent="0.2">
      <c r="A167" s="77" t="s">
        <v>617</v>
      </c>
      <c r="B167" s="78" t="s">
        <v>250</v>
      </c>
      <c r="C167" s="79" t="s">
        <v>618</v>
      </c>
      <c r="D167" s="80">
        <v>45195</v>
      </c>
      <c r="E167" s="81">
        <v>1</v>
      </c>
      <c r="F167" s="83">
        <v>2E-8</v>
      </c>
      <c r="G167" s="82"/>
    </row>
    <row r="168" spans="1:7" ht="89.25" x14ac:dyDescent="0.2">
      <c r="A168" s="84" t="s">
        <v>619</v>
      </c>
      <c r="B168" s="85" t="s">
        <v>404</v>
      </c>
      <c r="C168" s="81" t="s">
        <v>809</v>
      </c>
      <c r="D168" s="86">
        <v>45398</v>
      </c>
      <c r="E168" s="81"/>
      <c r="F168" s="83"/>
      <c r="G168" s="82" t="s">
        <v>278</v>
      </c>
    </row>
    <row r="169" spans="1:7" ht="63.75" x14ac:dyDescent="0.2">
      <c r="A169" s="77" t="s">
        <v>620</v>
      </c>
      <c r="B169" s="78" t="s">
        <v>326</v>
      </c>
      <c r="C169" s="79" t="s">
        <v>621</v>
      </c>
      <c r="D169" s="80">
        <v>44643</v>
      </c>
      <c r="E169" s="81">
        <v>11</v>
      </c>
      <c r="F169" s="83">
        <v>1.8E-7</v>
      </c>
      <c r="G169" s="82"/>
    </row>
    <row r="170" spans="1:7" ht="38.25" x14ac:dyDescent="0.2">
      <c r="A170" s="77" t="s">
        <v>622</v>
      </c>
      <c r="B170" s="85" t="s">
        <v>247</v>
      </c>
      <c r="C170" s="79" t="s">
        <v>623</v>
      </c>
      <c r="D170" s="80">
        <v>44608</v>
      </c>
      <c r="E170" s="81"/>
      <c r="F170" s="83"/>
      <c r="G170" s="82"/>
    </row>
    <row r="171" spans="1:7" ht="38.25" x14ac:dyDescent="0.2">
      <c r="A171" s="87" t="s">
        <v>624</v>
      </c>
      <c r="B171" s="88" t="s">
        <v>247</v>
      </c>
      <c r="C171" s="89" t="s">
        <v>625</v>
      </c>
      <c r="D171" s="90">
        <v>44979</v>
      </c>
      <c r="E171" s="81">
        <v>2</v>
      </c>
      <c r="F171" s="83">
        <v>2.9999999999999997E-8</v>
      </c>
      <c r="G171" s="82"/>
    </row>
    <row r="172" spans="1:7" ht="229.5" x14ac:dyDescent="0.2">
      <c r="A172" s="84" t="s">
        <v>626</v>
      </c>
      <c r="B172" s="85" t="s">
        <v>627</v>
      </c>
      <c r="C172" s="81" t="s">
        <v>628</v>
      </c>
      <c r="D172" s="86">
        <v>44895</v>
      </c>
      <c r="E172" s="81">
        <v>1</v>
      </c>
      <c r="F172" s="83">
        <v>2E-8</v>
      </c>
      <c r="G172" s="82"/>
    </row>
    <row r="173" spans="1:7" ht="102" x14ac:dyDescent="0.2">
      <c r="A173" s="77" t="s">
        <v>629</v>
      </c>
      <c r="B173" s="85" t="s">
        <v>630</v>
      </c>
      <c r="C173" s="79" t="s">
        <v>631</v>
      </c>
      <c r="D173" s="80">
        <v>44552</v>
      </c>
      <c r="E173" s="81">
        <v>1</v>
      </c>
      <c r="F173" s="83">
        <v>2E-8</v>
      </c>
      <c r="G173" s="82"/>
    </row>
    <row r="174" spans="1:7" ht="63.75" x14ac:dyDescent="0.2">
      <c r="A174" s="77" t="s">
        <v>632</v>
      </c>
      <c r="B174" s="78" t="s">
        <v>633</v>
      </c>
      <c r="C174" s="79" t="s">
        <v>634</v>
      </c>
      <c r="D174" s="80">
        <v>43880</v>
      </c>
      <c r="E174" s="81"/>
      <c r="F174" s="83"/>
      <c r="G174" s="82"/>
    </row>
    <row r="175" spans="1:7" ht="76.5" x14ac:dyDescent="0.2">
      <c r="A175" s="84" t="s">
        <v>635</v>
      </c>
      <c r="B175" s="85" t="s">
        <v>636</v>
      </c>
      <c r="C175" s="81" t="s">
        <v>637</v>
      </c>
      <c r="D175" s="86">
        <v>45213</v>
      </c>
      <c r="E175" s="81"/>
      <c r="F175" s="83"/>
      <c r="G175" s="82"/>
    </row>
    <row r="176" spans="1:7" ht="76.5" x14ac:dyDescent="0.2">
      <c r="A176" s="84" t="s">
        <v>638</v>
      </c>
      <c r="B176" s="85" t="s">
        <v>262</v>
      </c>
      <c r="C176" s="81" t="s">
        <v>639</v>
      </c>
      <c r="D176" s="86">
        <v>45206</v>
      </c>
      <c r="E176" s="81"/>
      <c r="F176" s="83"/>
      <c r="G176" s="82"/>
    </row>
    <row r="177" spans="1:7" ht="114.75" x14ac:dyDescent="0.2">
      <c r="A177" s="84" t="s">
        <v>640</v>
      </c>
      <c r="B177" s="85" t="s">
        <v>641</v>
      </c>
      <c r="C177" s="81" t="s">
        <v>642</v>
      </c>
      <c r="D177" s="86">
        <v>44822</v>
      </c>
      <c r="E177" s="81"/>
      <c r="F177" s="83"/>
      <c r="G177" s="82"/>
    </row>
    <row r="178" spans="1:7" ht="38.25" x14ac:dyDescent="0.2">
      <c r="A178" s="77" t="s">
        <v>643</v>
      </c>
      <c r="B178" s="78" t="s">
        <v>247</v>
      </c>
      <c r="C178" s="79" t="s">
        <v>644</v>
      </c>
      <c r="D178" s="80">
        <v>44622</v>
      </c>
      <c r="E178" s="81"/>
      <c r="F178" s="83"/>
      <c r="G178" s="82"/>
    </row>
    <row r="179" spans="1:7" ht="63.75" x14ac:dyDescent="0.2">
      <c r="A179" s="84" t="s">
        <v>645</v>
      </c>
      <c r="B179" s="85" t="s">
        <v>326</v>
      </c>
      <c r="C179" s="81" t="s">
        <v>646</v>
      </c>
      <c r="D179" s="86">
        <v>44755</v>
      </c>
      <c r="E179" s="81"/>
      <c r="F179" s="83"/>
      <c r="G179" s="82"/>
    </row>
    <row r="180" spans="1:7" ht="51" x14ac:dyDescent="0.2">
      <c r="A180" s="84" t="s">
        <v>647</v>
      </c>
      <c r="B180" s="85" t="s">
        <v>250</v>
      </c>
      <c r="C180" s="81" t="s">
        <v>648</v>
      </c>
      <c r="D180" s="86">
        <v>45215</v>
      </c>
      <c r="E180" s="81"/>
      <c r="F180" s="83"/>
      <c r="G180" s="82"/>
    </row>
    <row r="181" spans="1:7" ht="89.25" x14ac:dyDescent="0.2">
      <c r="A181" s="84" t="s">
        <v>649</v>
      </c>
      <c r="B181" s="85" t="s">
        <v>650</v>
      </c>
      <c r="C181" s="81" t="s">
        <v>651</v>
      </c>
      <c r="D181" s="86">
        <v>44542</v>
      </c>
      <c r="E181" s="81">
        <v>2</v>
      </c>
      <c r="F181" s="83">
        <v>2.9999999999999997E-8</v>
      </c>
      <c r="G181" s="82"/>
    </row>
    <row r="182" spans="1:7" ht="76.5" x14ac:dyDescent="0.2">
      <c r="A182" s="84" t="s">
        <v>652</v>
      </c>
      <c r="B182" s="85" t="s">
        <v>312</v>
      </c>
      <c r="C182" s="81" t="s">
        <v>653</v>
      </c>
      <c r="D182" s="86">
        <v>43892</v>
      </c>
      <c r="E182" s="81"/>
      <c r="F182" s="83"/>
      <c r="G182" s="82"/>
    </row>
    <row r="183" spans="1:7" ht="114.75" x14ac:dyDescent="0.2">
      <c r="A183" s="84" t="s">
        <v>654</v>
      </c>
      <c r="B183" s="85" t="s">
        <v>849</v>
      </c>
      <c r="C183" s="81" t="s">
        <v>655</v>
      </c>
      <c r="D183" s="86">
        <v>43901</v>
      </c>
      <c r="E183" s="81"/>
      <c r="F183" s="83"/>
      <c r="G183" s="82"/>
    </row>
    <row r="184" spans="1:7" ht="51" x14ac:dyDescent="0.2">
      <c r="A184" s="77" t="s">
        <v>656</v>
      </c>
      <c r="B184" s="85" t="s">
        <v>250</v>
      </c>
      <c r="C184" s="79" t="s">
        <v>810</v>
      </c>
      <c r="D184" s="80">
        <v>45410</v>
      </c>
      <c r="E184" s="81">
        <v>1</v>
      </c>
      <c r="F184" s="83">
        <v>2E-8</v>
      </c>
      <c r="G184" s="82"/>
    </row>
    <row r="185" spans="1:7" ht="89.25" x14ac:dyDescent="0.2">
      <c r="A185" s="84" t="s">
        <v>657</v>
      </c>
      <c r="B185" s="85" t="s">
        <v>658</v>
      </c>
      <c r="C185" s="81" t="s">
        <v>659</v>
      </c>
      <c r="D185" s="86">
        <v>43852</v>
      </c>
      <c r="E185" s="81"/>
      <c r="F185" s="83"/>
      <c r="G185" s="82"/>
    </row>
    <row r="186" spans="1:7" ht="63.75" x14ac:dyDescent="0.2">
      <c r="A186" s="87" t="s">
        <v>660</v>
      </c>
      <c r="B186" s="88" t="s">
        <v>661</v>
      </c>
      <c r="C186" s="89" t="s">
        <v>662</v>
      </c>
      <c r="D186" s="90">
        <v>45227</v>
      </c>
      <c r="E186" s="81"/>
      <c r="F186" s="83"/>
      <c r="G186" s="82"/>
    </row>
    <row r="187" spans="1:7" ht="51" x14ac:dyDescent="0.2">
      <c r="A187" s="77" t="s">
        <v>663</v>
      </c>
      <c r="B187" s="78" t="s">
        <v>250</v>
      </c>
      <c r="C187" s="79" t="s">
        <v>664</v>
      </c>
      <c r="D187" s="80">
        <v>45201</v>
      </c>
      <c r="E187" s="81"/>
      <c r="F187" s="83"/>
      <c r="G187" s="82"/>
    </row>
    <row r="188" spans="1:7" ht="38.25" x14ac:dyDescent="0.2">
      <c r="A188" s="77" t="s">
        <v>665</v>
      </c>
      <c r="B188" s="78" t="s">
        <v>247</v>
      </c>
      <c r="C188" s="79" t="s">
        <v>811</v>
      </c>
      <c r="D188" s="80">
        <v>45396</v>
      </c>
      <c r="E188" s="81"/>
      <c r="F188" s="83"/>
      <c r="G188" s="82"/>
    </row>
    <row r="189" spans="1:7" ht="102" x14ac:dyDescent="0.2">
      <c r="A189" s="77" t="s">
        <v>666</v>
      </c>
      <c r="B189" s="78" t="s">
        <v>276</v>
      </c>
      <c r="C189" s="79" t="s">
        <v>667</v>
      </c>
      <c r="D189" s="80">
        <v>44917</v>
      </c>
      <c r="E189" s="81"/>
      <c r="F189" s="83"/>
      <c r="G189" s="82" t="s">
        <v>278</v>
      </c>
    </row>
    <row r="190" spans="1:7" ht="38.25" x14ac:dyDescent="0.2">
      <c r="A190" s="110" t="s">
        <v>668</v>
      </c>
      <c r="B190" s="88" t="s">
        <v>247</v>
      </c>
      <c r="C190" s="81" t="s">
        <v>669</v>
      </c>
      <c r="D190" s="86">
        <v>43880</v>
      </c>
      <c r="E190" s="81"/>
      <c r="F190" s="83"/>
      <c r="G190" s="82"/>
    </row>
    <row r="191" spans="1:7" ht="63.75" x14ac:dyDescent="0.2">
      <c r="A191" s="84" t="s">
        <v>671</v>
      </c>
      <c r="B191" s="85" t="s">
        <v>672</v>
      </c>
      <c r="C191" s="81" t="s">
        <v>673</v>
      </c>
      <c r="D191" s="111">
        <v>44490</v>
      </c>
      <c r="E191" s="81"/>
      <c r="F191" s="83"/>
      <c r="G191" s="82"/>
    </row>
    <row r="192" spans="1:7" ht="51" x14ac:dyDescent="0.2">
      <c r="A192" s="84" t="s">
        <v>674</v>
      </c>
      <c r="B192" s="85" t="s">
        <v>675</v>
      </c>
      <c r="C192" s="81" t="s">
        <v>676</v>
      </c>
      <c r="D192" s="86">
        <v>44759</v>
      </c>
      <c r="E192" s="81"/>
      <c r="F192" s="83"/>
      <c r="G192" s="82"/>
    </row>
    <row r="193" spans="1:7" ht="38.25" x14ac:dyDescent="0.2">
      <c r="A193" s="87" t="s">
        <v>677</v>
      </c>
      <c r="B193" s="88" t="s">
        <v>247</v>
      </c>
      <c r="C193" s="89" t="s">
        <v>678</v>
      </c>
      <c r="D193" s="90">
        <v>44741</v>
      </c>
      <c r="E193" s="81">
        <v>3</v>
      </c>
      <c r="F193" s="83">
        <v>4.9999999999999998E-8</v>
      </c>
      <c r="G193" s="82"/>
    </row>
    <row r="194" spans="1:7" ht="51" x14ac:dyDescent="0.2">
      <c r="A194" s="77" t="s">
        <v>679</v>
      </c>
      <c r="B194" s="78" t="s">
        <v>289</v>
      </c>
      <c r="C194" s="79" t="s">
        <v>680</v>
      </c>
      <c r="D194" s="80">
        <v>44892</v>
      </c>
      <c r="E194" s="81"/>
      <c r="F194" s="83"/>
      <c r="G194" s="82"/>
    </row>
    <row r="195" spans="1:7" ht="89.25" x14ac:dyDescent="0.2">
      <c r="A195" s="77" t="s">
        <v>681</v>
      </c>
      <c r="B195" s="78" t="s">
        <v>580</v>
      </c>
      <c r="C195" s="79" t="s">
        <v>682</v>
      </c>
      <c r="D195" s="80">
        <v>45215</v>
      </c>
      <c r="E195" s="81"/>
      <c r="F195" s="83"/>
      <c r="G195" s="82"/>
    </row>
    <row r="196" spans="1:7" ht="76.5" x14ac:dyDescent="0.2">
      <c r="A196" s="77" t="s">
        <v>683</v>
      </c>
      <c r="B196" s="78" t="s">
        <v>323</v>
      </c>
      <c r="C196" s="79" t="s">
        <v>684</v>
      </c>
      <c r="D196" s="80">
        <v>44246</v>
      </c>
      <c r="E196" s="81"/>
      <c r="F196" s="83"/>
      <c r="G196" s="82"/>
    </row>
    <row r="197" spans="1:7" ht="63.75" x14ac:dyDescent="0.2">
      <c r="A197" s="77" t="s">
        <v>685</v>
      </c>
      <c r="B197" s="78" t="s">
        <v>273</v>
      </c>
      <c r="C197" s="79" t="s">
        <v>686</v>
      </c>
      <c r="D197" s="80">
        <v>44720</v>
      </c>
      <c r="E197" s="81"/>
      <c r="F197" s="83"/>
      <c r="G197" s="82"/>
    </row>
    <row r="198" spans="1:7" ht="229.5" x14ac:dyDescent="0.2">
      <c r="A198" s="84" t="s">
        <v>687</v>
      </c>
      <c r="B198" s="85" t="s">
        <v>670</v>
      </c>
      <c r="C198" s="81" t="s">
        <v>688</v>
      </c>
      <c r="D198" s="86">
        <v>44609</v>
      </c>
      <c r="E198" s="81"/>
      <c r="F198" s="83"/>
      <c r="G198" s="82"/>
    </row>
    <row r="199" spans="1:7" ht="63.75" x14ac:dyDescent="0.2">
      <c r="A199" s="101" t="s">
        <v>689</v>
      </c>
      <c r="B199" s="102" t="s">
        <v>438</v>
      </c>
      <c r="C199" s="103" t="s">
        <v>690</v>
      </c>
      <c r="D199" s="86">
        <v>44483</v>
      </c>
      <c r="E199" s="81">
        <v>34</v>
      </c>
      <c r="F199" s="83">
        <v>5.5000000000000003E-7</v>
      </c>
      <c r="G199" s="82"/>
    </row>
    <row r="200" spans="1:7" ht="38.25" x14ac:dyDescent="0.2">
      <c r="A200" s="101" t="s">
        <v>691</v>
      </c>
      <c r="B200" s="102" t="s">
        <v>247</v>
      </c>
      <c r="C200" s="103" t="s">
        <v>692</v>
      </c>
      <c r="D200" s="86">
        <v>45013</v>
      </c>
      <c r="E200" s="81">
        <v>61</v>
      </c>
      <c r="F200" s="83">
        <v>9.9000000000000005E-7</v>
      </c>
      <c r="G200" s="82"/>
    </row>
    <row r="201" spans="1:7" ht="38.25" x14ac:dyDescent="0.2">
      <c r="A201" s="84" t="s">
        <v>693</v>
      </c>
      <c r="B201" s="85" t="s">
        <v>827</v>
      </c>
      <c r="C201" s="81" t="s">
        <v>694</v>
      </c>
      <c r="D201" s="86">
        <v>45013</v>
      </c>
      <c r="E201" s="81">
        <v>3</v>
      </c>
      <c r="F201" s="83">
        <v>4.9999999999999998E-8</v>
      </c>
      <c r="G201" s="82"/>
    </row>
    <row r="202" spans="1:7" ht="89.25" x14ac:dyDescent="0.2">
      <c r="A202" s="84" t="s">
        <v>695</v>
      </c>
      <c r="B202" s="85" t="s">
        <v>822</v>
      </c>
      <c r="C202" s="81" t="s">
        <v>696</v>
      </c>
      <c r="D202" s="86">
        <v>44028</v>
      </c>
      <c r="E202" s="81"/>
      <c r="F202" s="83"/>
      <c r="G202" s="82"/>
    </row>
    <row r="203" spans="1:7" ht="76.5" x14ac:dyDescent="0.2">
      <c r="A203" s="84" t="s">
        <v>697</v>
      </c>
      <c r="B203" s="85" t="s">
        <v>285</v>
      </c>
      <c r="C203" s="81" t="s">
        <v>698</v>
      </c>
      <c r="D203" s="86">
        <v>44917</v>
      </c>
      <c r="E203" s="81"/>
      <c r="F203" s="83"/>
      <c r="G203" s="82"/>
    </row>
    <row r="204" spans="1:7" ht="51" x14ac:dyDescent="0.2">
      <c r="A204" s="84" t="s">
        <v>699</v>
      </c>
      <c r="B204" s="85" t="s">
        <v>255</v>
      </c>
      <c r="C204" s="81" t="s">
        <v>700</v>
      </c>
      <c r="D204" s="86">
        <v>44759</v>
      </c>
      <c r="E204" s="81"/>
      <c r="F204" s="83"/>
      <c r="G204" s="82"/>
    </row>
    <row r="205" spans="1:7" ht="89.25" x14ac:dyDescent="0.2">
      <c r="A205" s="84" t="s">
        <v>701</v>
      </c>
      <c r="B205" s="85" t="s">
        <v>702</v>
      </c>
      <c r="C205" s="81" t="s">
        <v>703</v>
      </c>
      <c r="D205" s="86">
        <v>45326</v>
      </c>
      <c r="E205" s="81"/>
      <c r="F205" s="83"/>
      <c r="G205" s="82"/>
    </row>
    <row r="206" spans="1:7" ht="38.25" x14ac:dyDescent="0.2">
      <c r="A206" s="77" t="s">
        <v>704</v>
      </c>
      <c r="B206" s="78" t="s">
        <v>705</v>
      </c>
      <c r="C206" s="79" t="s">
        <v>706</v>
      </c>
      <c r="D206" s="80">
        <v>44028</v>
      </c>
      <c r="E206" s="81"/>
      <c r="F206" s="83"/>
      <c r="G206" s="82" t="s">
        <v>278</v>
      </c>
    </row>
    <row r="207" spans="1:7" ht="51" x14ac:dyDescent="0.2">
      <c r="A207" s="84" t="s">
        <v>707</v>
      </c>
      <c r="B207" s="85" t="s">
        <v>250</v>
      </c>
      <c r="C207" s="79" t="s">
        <v>708</v>
      </c>
      <c r="D207" s="86">
        <v>44294</v>
      </c>
      <c r="E207" s="81"/>
      <c r="F207" s="83"/>
      <c r="G207" s="82"/>
    </row>
    <row r="208" spans="1:7" ht="63.75" x14ac:dyDescent="0.2">
      <c r="A208" s="77" t="s">
        <v>709</v>
      </c>
      <c r="B208" s="78" t="s">
        <v>710</v>
      </c>
      <c r="C208" s="79" t="s">
        <v>711</v>
      </c>
      <c r="D208" s="95">
        <v>44853</v>
      </c>
      <c r="E208" s="81"/>
      <c r="F208" s="83"/>
      <c r="G208" s="82"/>
    </row>
    <row r="209" spans="1:7" ht="38.25" x14ac:dyDescent="0.2">
      <c r="A209" s="87" t="s">
        <v>712</v>
      </c>
      <c r="B209" s="88" t="s">
        <v>260</v>
      </c>
      <c r="C209" s="89" t="s">
        <v>713</v>
      </c>
      <c r="D209" s="90">
        <v>44609</v>
      </c>
      <c r="E209" s="81"/>
      <c r="F209" s="83"/>
      <c r="G209" s="82"/>
    </row>
    <row r="210" spans="1:7" ht="38.25" x14ac:dyDescent="0.2">
      <c r="A210" s="77" t="s">
        <v>714</v>
      </c>
      <c r="B210" s="78" t="s">
        <v>247</v>
      </c>
      <c r="C210" s="93" t="s">
        <v>715</v>
      </c>
      <c r="D210" s="95">
        <v>44902</v>
      </c>
      <c r="E210" s="81">
        <v>9</v>
      </c>
      <c r="F210" s="83">
        <v>1.4000000000000001E-7</v>
      </c>
      <c r="G210" s="82"/>
    </row>
    <row r="211" spans="1:7" ht="76.5" x14ac:dyDescent="0.2">
      <c r="A211" s="87" t="s">
        <v>716</v>
      </c>
      <c r="B211" s="88" t="s">
        <v>717</v>
      </c>
      <c r="C211" s="89" t="s">
        <v>718</v>
      </c>
      <c r="D211" s="90">
        <v>45031</v>
      </c>
      <c r="E211" s="81"/>
      <c r="F211" s="83"/>
      <c r="G211" s="82"/>
    </row>
    <row r="212" spans="1:7" ht="38.25" x14ac:dyDescent="0.2">
      <c r="A212" s="77" t="s">
        <v>719</v>
      </c>
      <c r="B212" s="78" t="s">
        <v>300</v>
      </c>
      <c r="C212" s="79" t="s">
        <v>720</v>
      </c>
      <c r="D212" s="80">
        <v>44028</v>
      </c>
      <c r="E212" s="81">
        <v>1</v>
      </c>
      <c r="F212" s="83">
        <v>2E-8</v>
      </c>
      <c r="G212" s="82"/>
    </row>
    <row r="213" spans="1:7" ht="38.25" x14ac:dyDescent="0.2">
      <c r="A213" s="77" t="s">
        <v>721</v>
      </c>
      <c r="B213" s="78" t="s">
        <v>247</v>
      </c>
      <c r="C213" s="79" t="s">
        <v>722</v>
      </c>
      <c r="D213" s="80">
        <v>44685</v>
      </c>
      <c r="E213" s="81"/>
      <c r="F213" s="83"/>
      <c r="G213" s="82"/>
    </row>
    <row r="214" spans="1:7" ht="38.25" x14ac:dyDescent="0.2">
      <c r="A214" s="84" t="s">
        <v>723</v>
      </c>
      <c r="B214" s="85" t="s">
        <v>724</v>
      </c>
      <c r="C214" s="79" t="s">
        <v>725</v>
      </c>
      <c r="D214" s="86">
        <v>44106</v>
      </c>
      <c r="E214" s="81"/>
      <c r="F214" s="83"/>
      <c r="G214" s="82"/>
    </row>
    <row r="215" spans="1:7" ht="38.25" x14ac:dyDescent="0.2">
      <c r="A215" s="87" t="s">
        <v>726</v>
      </c>
      <c r="B215" s="88" t="s">
        <v>247</v>
      </c>
      <c r="C215" s="89" t="s">
        <v>727</v>
      </c>
      <c r="D215" s="90">
        <v>45284</v>
      </c>
      <c r="E215" s="81">
        <v>54</v>
      </c>
      <c r="F215" s="83">
        <v>8.7000000000000003E-7</v>
      </c>
      <c r="G215" s="82"/>
    </row>
    <row r="216" spans="1:7" ht="51" x14ac:dyDescent="0.2">
      <c r="A216" s="77" t="s">
        <v>728</v>
      </c>
      <c r="B216" s="78" t="s">
        <v>250</v>
      </c>
      <c r="C216" s="112" t="s">
        <v>850</v>
      </c>
      <c r="D216" s="80">
        <v>45650</v>
      </c>
      <c r="E216" s="81">
        <v>68</v>
      </c>
      <c r="F216" s="83">
        <v>1.1000000000000001E-6</v>
      </c>
      <c r="G216" s="82"/>
    </row>
    <row r="217" spans="1:7" ht="63.75" x14ac:dyDescent="0.2">
      <c r="A217" s="77" t="s">
        <v>729</v>
      </c>
      <c r="B217" s="78" t="s">
        <v>730</v>
      </c>
      <c r="C217" s="112" t="s">
        <v>731</v>
      </c>
      <c r="D217" s="80">
        <v>45370</v>
      </c>
      <c r="E217" s="81"/>
      <c r="F217" s="83"/>
      <c r="G217" s="82"/>
    </row>
    <row r="218" spans="1:7" ht="38.25" x14ac:dyDescent="0.2">
      <c r="A218" s="77" t="s">
        <v>732</v>
      </c>
      <c r="B218" s="78" t="s">
        <v>247</v>
      </c>
      <c r="C218" s="79" t="s">
        <v>851</v>
      </c>
      <c r="D218" s="80">
        <v>45578</v>
      </c>
      <c r="E218" s="81"/>
      <c r="F218" s="83"/>
      <c r="G218" s="82"/>
    </row>
    <row r="219" spans="1:7" ht="63.75" x14ac:dyDescent="0.2">
      <c r="A219" s="77" t="s">
        <v>733</v>
      </c>
      <c r="B219" s="78" t="s">
        <v>734</v>
      </c>
      <c r="C219" s="112" t="s">
        <v>735</v>
      </c>
      <c r="D219" s="80">
        <v>44917</v>
      </c>
      <c r="E219" s="81"/>
      <c r="F219" s="83"/>
      <c r="G219" s="82"/>
    </row>
    <row r="220" spans="1:7" ht="63.75" x14ac:dyDescent="0.2">
      <c r="A220" s="77" t="s">
        <v>736</v>
      </c>
      <c r="B220" s="78" t="s">
        <v>737</v>
      </c>
      <c r="C220" s="79" t="s">
        <v>738</v>
      </c>
      <c r="D220" s="80">
        <v>44528</v>
      </c>
      <c r="E220" s="81"/>
      <c r="F220" s="83"/>
      <c r="G220" s="82"/>
    </row>
    <row r="221" spans="1:7" ht="102" x14ac:dyDescent="0.2">
      <c r="A221" s="77" t="s">
        <v>739</v>
      </c>
      <c r="B221" s="78" t="s">
        <v>630</v>
      </c>
      <c r="C221" s="79" t="s">
        <v>740</v>
      </c>
      <c r="D221" s="80">
        <v>44931</v>
      </c>
      <c r="E221" s="81"/>
      <c r="F221" s="83"/>
      <c r="G221" s="82"/>
    </row>
    <row r="222" spans="1:7" ht="63.75" x14ac:dyDescent="0.2">
      <c r="A222" s="77" t="s">
        <v>741</v>
      </c>
      <c r="B222" s="78" t="s">
        <v>742</v>
      </c>
      <c r="C222" s="79" t="s">
        <v>743</v>
      </c>
      <c r="D222" s="80">
        <v>44375</v>
      </c>
      <c r="E222" s="81"/>
      <c r="F222" s="83"/>
      <c r="G222" s="82"/>
    </row>
    <row r="223" spans="1:7" ht="38.25" x14ac:dyDescent="0.2">
      <c r="A223" s="94" t="s">
        <v>744</v>
      </c>
      <c r="B223" s="78" t="s">
        <v>247</v>
      </c>
      <c r="C223" s="93" t="s">
        <v>745</v>
      </c>
      <c r="D223" s="95">
        <v>45195</v>
      </c>
      <c r="E223" s="81">
        <v>1</v>
      </c>
      <c r="F223" s="83">
        <v>2E-8</v>
      </c>
      <c r="G223" s="82"/>
    </row>
    <row r="224" spans="1:7" ht="51" x14ac:dyDescent="0.2">
      <c r="A224" s="77" t="s">
        <v>746</v>
      </c>
      <c r="B224" s="78" t="s">
        <v>289</v>
      </c>
      <c r="C224" s="79" t="s">
        <v>747</v>
      </c>
      <c r="D224" s="80">
        <v>44354</v>
      </c>
      <c r="E224" s="81"/>
      <c r="F224" s="83"/>
      <c r="G224" s="82"/>
    </row>
    <row r="225" spans="1:7" x14ac:dyDescent="0.2">
      <c r="A225" s="43"/>
      <c r="B225" s="43"/>
      <c r="C225" s="43"/>
      <c r="D225" s="43"/>
      <c r="E225" s="43"/>
      <c r="F225" s="43"/>
      <c r="G225" s="43"/>
    </row>
    <row r="226" spans="1:7" x14ac:dyDescent="0.2">
      <c r="A226" s="43"/>
      <c r="B226" s="43"/>
      <c r="C226" s="43"/>
      <c r="D226" s="43"/>
      <c r="E226" s="43"/>
      <c r="F226" s="43"/>
      <c r="G226" s="43"/>
    </row>
    <row r="227" spans="1:7" x14ac:dyDescent="0.2">
      <c r="A227" s="43"/>
      <c r="B227" s="43"/>
      <c r="C227" s="43"/>
      <c r="D227" s="43"/>
      <c r="E227" s="43"/>
      <c r="F227" s="43"/>
      <c r="G227" s="43"/>
    </row>
    <row r="228" spans="1:7" x14ac:dyDescent="0.2">
      <c r="A228" s="43"/>
      <c r="B228" s="43"/>
      <c r="C228" s="43"/>
      <c r="D228" s="43"/>
      <c r="E228" s="43"/>
      <c r="F228" s="43"/>
      <c r="G228" s="43"/>
    </row>
    <row r="229" spans="1:7" x14ac:dyDescent="0.2">
      <c r="A229" s="43"/>
      <c r="B229" s="43"/>
      <c r="C229" s="43"/>
      <c r="D229" s="43"/>
      <c r="E229" s="43"/>
      <c r="F229" s="43"/>
      <c r="G229" s="43"/>
    </row>
    <row r="230" spans="1:7" x14ac:dyDescent="0.2">
      <c r="A230" s="43"/>
      <c r="B230" s="43"/>
      <c r="C230" s="43"/>
      <c r="D230" s="43"/>
      <c r="E230" s="43"/>
      <c r="F230" s="43"/>
      <c r="G230" s="43"/>
    </row>
    <row r="231" spans="1:7" x14ac:dyDescent="0.2">
      <c r="A231" s="43"/>
      <c r="B231" s="43"/>
      <c r="C231" s="43"/>
      <c r="D231" s="43"/>
      <c r="E231" s="43"/>
      <c r="F231" s="43"/>
      <c r="G231" s="43"/>
    </row>
    <row r="232" spans="1:7" x14ac:dyDescent="0.2">
      <c r="A232" s="43"/>
      <c r="B232" s="43"/>
      <c r="C232" s="43"/>
      <c r="D232" s="43"/>
      <c r="E232" s="43"/>
      <c r="F232" s="43"/>
      <c r="G232" s="43"/>
    </row>
    <row r="233" spans="1:7" x14ac:dyDescent="0.2">
      <c r="A233" s="43"/>
      <c r="B233" s="43"/>
      <c r="C233" s="43"/>
      <c r="D233" s="43"/>
      <c r="E233" s="43"/>
      <c r="F233" s="43"/>
      <c r="G233" s="43"/>
    </row>
    <row r="234" spans="1:7" x14ac:dyDescent="0.2">
      <c r="A234" s="43"/>
      <c r="B234" s="43"/>
      <c r="C234" s="43"/>
      <c r="D234" s="43"/>
      <c r="E234" s="43"/>
      <c r="F234" s="43"/>
      <c r="G234" s="43"/>
    </row>
    <row r="235" spans="1:7" x14ac:dyDescent="0.2">
      <c r="A235" s="43"/>
      <c r="B235" s="43"/>
      <c r="C235" s="43"/>
      <c r="D235" s="43"/>
      <c r="E235" s="43"/>
      <c r="F235" s="43"/>
      <c r="G235" s="43"/>
    </row>
    <row r="236" spans="1:7" x14ac:dyDescent="0.2">
      <c r="A236" s="43"/>
      <c r="B236" s="43"/>
      <c r="C236" s="43"/>
      <c r="D236" s="43"/>
      <c r="E236" s="43"/>
      <c r="F236" s="43"/>
      <c r="G236" s="43"/>
    </row>
    <row r="237" spans="1:7" x14ac:dyDescent="0.2">
      <c r="A237" s="43"/>
      <c r="B237" s="43"/>
      <c r="C237" s="43"/>
      <c r="D237" s="43"/>
      <c r="E237" s="43"/>
      <c r="F237" s="43"/>
      <c r="G237" s="43"/>
    </row>
    <row r="238" spans="1:7" x14ac:dyDescent="0.2">
      <c r="A238" s="43"/>
      <c r="B238" s="43"/>
      <c r="C238" s="43"/>
      <c r="D238" s="43"/>
      <c r="E238" s="43"/>
      <c r="F238" s="43"/>
      <c r="G238" s="43"/>
    </row>
    <row r="239" spans="1:7" x14ac:dyDescent="0.2">
      <c r="A239" s="43"/>
      <c r="B239" s="43"/>
      <c r="C239" s="43"/>
      <c r="D239" s="43"/>
      <c r="E239" s="43"/>
      <c r="F239" s="43"/>
      <c r="G239" s="43"/>
    </row>
    <row r="240" spans="1:7" x14ac:dyDescent="0.2">
      <c r="A240" s="43"/>
      <c r="B240" s="43"/>
      <c r="C240" s="43"/>
      <c r="D240" s="43"/>
      <c r="E240" s="43"/>
      <c r="F240" s="43"/>
      <c r="G240" s="43"/>
    </row>
    <row r="241" spans="1:7" x14ac:dyDescent="0.2">
      <c r="A241" s="43"/>
      <c r="B241" s="43"/>
      <c r="C241" s="43"/>
      <c r="D241" s="43"/>
      <c r="E241" s="43"/>
      <c r="F241" s="43"/>
      <c r="G241" s="43"/>
    </row>
    <row r="242" spans="1:7" x14ac:dyDescent="0.2">
      <c r="A242" s="43"/>
      <c r="B242" s="43"/>
      <c r="C242" s="43"/>
      <c r="D242" s="43"/>
      <c r="E242" s="43"/>
      <c r="F242" s="43"/>
      <c r="G242" s="43"/>
    </row>
    <row r="243" spans="1:7" x14ac:dyDescent="0.2">
      <c r="A243" s="43"/>
      <c r="B243" s="43"/>
      <c r="C243" s="43"/>
      <c r="D243" s="43"/>
      <c r="E243" s="43"/>
      <c r="F243" s="43"/>
      <c r="G243" s="43"/>
    </row>
    <row r="244" spans="1:7" x14ac:dyDescent="0.2">
      <c r="A244" s="43"/>
      <c r="B244" s="43"/>
      <c r="C244" s="43"/>
      <c r="D244" s="43"/>
      <c r="E244" s="43"/>
      <c r="F244" s="43"/>
      <c r="G244" s="43"/>
    </row>
    <row r="245" spans="1:7" x14ac:dyDescent="0.2">
      <c r="A245" s="43"/>
      <c r="B245" s="43"/>
      <c r="C245" s="43"/>
      <c r="D245" s="43"/>
      <c r="E245" s="43"/>
      <c r="F245" s="43"/>
      <c r="G245" s="43"/>
    </row>
    <row r="246" spans="1:7" x14ac:dyDescent="0.2">
      <c r="A246" s="43"/>
      <c r="B246" s="43"/>
      <c r="C246" s="43"/>
      <c r="D246" s="43"/>
      <c r="E246" s="43"/>
      <c r="F246" s="43"/>
      <c r="G246" s="43"/>
    </row>
    <row r="247" spans="1:7" x14ac:dyDescent="0.2">
      <c r="A247" s="43"/>
      <c r="B247" s="43"/>
      <c r="C247" s="43"/>
      <c r="D247" s="43"/>
      <c r="E247" s="43"/>
      <c r="F247" s="43"/>
      <c r="G247" s="43"/>
    </row>
    <row r="248" spans="1:7" x14ac:dyDescent="0.2">
      <c r="A248" s="43"/>
      <c r="B248" s="43"/>
      <c r="C248" s="43"/>
      <c r="D248" s="43"/>
      <c r="E248" s="43"/>
      <c r="F248" s="43"/>
      <c r="G248" s="43"/>
    </row>
    <row r="249" spans="1:7" x14ac:dyDescent="0.2">
      <c r="A249" s="43"/>
      <c r="B249" s="43"/>
      <c r="C249" s="43"/>
      <c r="D249" s="43"/>
      <c r="E249" s="43"/>
      <c r="F249" s="43"/>
      <c r="G249" s="43"/>
    </row>
  </sheetData>
  <mergeCells count="8">
    <mergeCell ref="A1:G1"/>
    <mergeCell ref="A2:G5"/>
    <mergeCell ref="G7:G8"/>
    <mergeCell ref="A7:A8"/>
    <mergeCell ref="B7:B8"/>
    <mergeCell ref="D7:D8"/>
    <mergeCell ref="E7:F7"/>
    <mergeCell ref="C7:C8"/>
  </mergeCells>
  <phoneticPr fontId="2" type="noConversion"/>
  <pageMargins left="0.25" right="0.25" top="0.75" bottom="0.75" header="0.3" footer="0.3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6"/>
  <sheetViews>
    <sheetView view="pageBreakPreview" zoomScale="110" zoomScaleNormal="100" zoomScaleSheetLayoutView="110" workbookViewId="0">
      <selection activeCell="A23" sqref="A23"/>
    </sheetView>
  </sheetViews>
  <sheetFormatPr defaultRowHeight="12.75" x14ac:dyDescent="0.2"/>
  <cols>
    <col min="1" max="1" width="43.42578125" style="7" customWidth="1"/>
    <col min="2" max="2" width="9.5703125" style="7" customWidth="1"/>
    <col min="3" max="3" width="13.140625" style="7" customWidth="1"/>
    <col min="4" max="4" width="28.140625" style="7" customWidth="1"/>
    <col min="5" max="16384" width="9.140625" style="7"/>
  </cols>
  <sheetData>
    <row r="1" spans="1:6" s="48" customFormat="1" ht="15.75" x14ac:dyDescent="0.2">
      <c r="A1" s="180" t="s">
        <v>225</v>
      </c>
      <c r="B1" s="180"/>
      <c r="C1" s="180"/>
      <c r="D1" s="180"/>
    </row>
    <row r="2" spans="1:6" s="48" customFormat="1" ht="15.75" x14ac:dyDescent="0.2">
      <c r="A2" s="180" t="s">
        <v>81</v>
      </c>
      <c r="B2" s="180"/>
      <c r="C2" s="180"/>
      <c r="D2" s="180"/>
    </row>
    <row r="3" spans="1:6" x14ac:dyDescent="0.2">
      <c r="A3" s="15"/>
    </row>
    <row r="4" spans="1:6" ht="25.5" x14ac:dyDescent="0.2">
      <c r="A4" s="17" t="s">
        <v>0</v>
      </c>
      <c r="B4" s="17" t="s">
        <v>41</v>
      </c>
      <c r="C4" s="17" t="s">
        <v>101</v>
      </c>
      <c r="D4" s="44" t="s">
        <v>82</v>
      </c>
    </row>
    <row r="5" spans="1:6" x14ac:dyDescent="0.2">
      <c r="A5" s="35">
        <v>1</v>
      </c>
      <c r="B5" s="35">
        <v>2</v>
      </c>
      <c r="C5" s="35">
        <v>3</v>
      </c>
      <c r="D5" s="35">
        <v>4</v>
      </c>
    </row>
    <row r="6" spans="1:6" ht="18.75" customHeight="1" x14ac:dyDescent="0.2">
      <c r="A6" s="18" t="s">
        <v>42</v>
      </c>
      <c r="B6" s="22" t="s">
        <v>175</v>
      </c>
      <c r="C6" s="20" t="s">
        <v>90</v>
      </c>
      <c r="D6" s="70"/>
    </row>
    <row r="7" spans="1:6" ht="25.5" x14ac:dyDescent="0.2">
      <c r="A7" s="18" t="s">
        <v>177</v>
      </c>
      <c r="B7" s="22" t="s">
        <v>178</v>
      </c>
      <c r="C7" s="20" t="s">
        <v>90</v>
      </c>
      <c r="D7" s="70"/>
    </row>
    <row r="8" spans="1:6" ht="25.5" x14ac:dyDescent="0.2">
      <c r="A8" s="18" t="s">
        <v>184</v>
      </c>
      <c r="B8" s="22" t="s">
        <v>179</v>
      </c>
      <c r="C8" s="20" t="s">
        <v>90</v>
      </c>
      <c r="D8" s="70"/>
    </row>
    <row r="9" spans="1:6" x14ac:dyDescent="0.2">
      <c r="A9" s="18" t="s">
        <v>83</v>
      </c>
      <c r="B9" s="22" t="s">
        <v>180</v>
      </c>
      <c r="C9" s="49" t="s">
        <v>88</v>
      </c>
      <c r="D9" s="70"/>
      <c r="F9" s="43"/>
    </row>
    <row r="10" spans="1:6" ht="25.5" x14ac:dyDescent="0.2">
      <c r="A10" s="18" t="s">
        <v>84</v>
      </c>
      <c r="B10" s="22" t="s">
        <v>181</v>
      </c>
      <c r="C10" s="49" t="s">
        <v>88</v>
      </c>
      <c r="D10" s="70"/>
      <c r="F10" s="43"/>
    </row>
    <row r="11" spans="1:6" ht="25.5" x14ac:dyDescent="0.2">
      <c r="A11" s="18" t="s">
        <v>85</v>
      </c>
      <c r="B11" s="22" t="s">
        <v>182</v>
      </c>
      <c r="C11" s="49" t="s">
        <v>88</v>
      </c>
      <c r="D11" s="69"/>
    </row>
    <row r="12" spans="1:6" ht="17.25" hidden="1" customHeight="1" x14ac:dyDescent="0.2">
      <c r="A12" s="18" t="s">
        <v>86</v>
      </c>
      <c r="B12" s="22" t="s">
        <v>183</v>
      </c>
      <c r="C12" s="49" t="s">
        <v>89</v>
      </c>
      <c r="D12" s="69"/>
    </row>
    <row r="13" spans="1:6" ht="16.5" hidden="1" customHeight="1" x14ac:dyDescent="0.2">
      <c r="A13" s="18" t="s">
        <v>87</v>
      </c>
      <c r="B13" s="22" t="s">
        <v>185</v>
      </c>
      <c r="C13" s="49" t="s">
        <v>176</v>
      </c>
      <c r="D13" s="69"/>
    </row>
    <row r="14" spans="1:6" ht="29.25" customHeight="1" x14ac:dyDescent="0.2">
      <c r="A14" s="18" t="s">
        <v>190</v>
      </c>
      <c r="B14" s="22" t="s">
        <v>186</v>
      </c>
      <c r="C14" s="49" t="s">
        <v>71</v>
      </c>
      <c r="D14" s="69"/>
    </row>
    <row r="15" spans="1:6" ht="16.5" customHeight="1" x14ac:dyDescent="0.2">
      <c r="A15" s="18" t="s">
        <v>191</v>
      </c>
      <c r="B15" s="22" t="s">
        <v>187</v>
      </c>
      <c r="C15" s="49" t="s">
        <v>71</v>
      </c>
      <c r="D15" s="69"/>
    </row>
    <row r="16" spans="1:6" ht="16.5" customHeight="1" x14ac:dyDescent="0.2">
      <c r="A16" s="18" t="s">
        <v>192</v>
      </c>
      <c r="B16" s="22" t="s">
        <v>188</v>
      </c>
      <c r="C16" s="49" t="s">
        <v>71</v>
      </c>
      <c r="D16" s="69"/>
    </row>
    <row r="17" spans="1:4" ht="16.5" customHeight="1" x14ac:dyDescent="0.2">
      <c r="A17" s="18" t="s">
        <v>193</v>
      </c>
      <c r="B17" s="22" t="s">
        <v>189</v>
      </c>
      <c r="C17" s="49" t="s">
        <v>71</v>
      </c>
      <c r="D17" s="69"/>
    </row>
    <row r="18" spans="1:4" ht="16.5" customHeight="1" x14ac:dyDescent="0.2">
      <c r="A18" s="18" t="s">
        <v>194</v>
      </c>
      <c r="B18" s="22" t="s">
        <v>189</v>
      </c>
      <c r="C18" s="49" t="s">
        <v>71</v>
      </c>
      <c r="D18" s="69"/>
    </row>
    <row r="19" spans="1:4" x14ac:dyDescent="0.2">
      <c r="A19" s="45"/>
      <c r="B19" s="46"/>
      <c r="C19" s="47"/>
      <c r="D19" s="43"/>
    </row>
    <row r="21" spans="1:4" ht="27" customHeight="1" x14ac:dyDescent="0.3">
      <c r="A21" s="71" t="s">
        <v>92</v>
      </c>
      <c r="B21" s="8"/>
      <c r="D21" s="8" t="s">
        <v>855</v>
      </c>
    </row>
    <row r="22" spans="1:4" ht="12" customHeight="1" x14ac:dyDescent="0.2">
      <c r="A22" s="45"/>
      <c r="B22" s="33" t="s">
        <v>239</v>
      </c>
      <c r="D22" s="33" t="s">
        <v>238</v>
      </c>
    </row>
    <row r="23" spans="1:4" ht="22.5" customHeight="1" x14ac:dyDescent="0.2">
      <c r="A23" s="73" t="s">
        <v>91</v>
      </c>
    </row>
    <row r="24" spans="1:4" x14ac:dyDescent="0.2">
      <c r="A24" s="45"/>
    </row>
    <row r="25" spans="1:4" ht="14.25" customHeight="1" x14ac:dyDescent="0.2">
      <c r="A25" s="75" t="s">
        <v>215</v>
      </c>
    </row>
    <row r="26" spans="1:4" x14ac:dyDescent="0.2">
      <c r="A26" s="75" t="s">
        <v>210</v>
      </c>
    </row>
    <row r="27" spans="1:4" x14ac:dyDescent="0.2">
      <c r="A27" s="75" t="s">
        <v>211</v>
      </c>
    </row>
    <row r="28" spans="1:4" ht="26.25" customHeight="1" x14ac:dyDescent="0.2">
      <c r="A28" s="75" t="s">
        <v>242</v>
      </c>
    </row>
    <row r="29" spans="1:4" ht="13.5" customHeight="1" x14ac:dyDescent="0.2">
      <c r="A29" s="75" t="s">
        <v>212</v>
      </c>
    </row>
    <row r="30" spans="1:4" ht="18" customHeight="1" x14ac:dyDescent="0.3">
      <c r="A30" s="75" t="s">
        <v>213</v>
      </c>
      <c r="B30" s="8"/>
      <c r="D30" s="8" t="s">
        <v>825</v>
      </c>
    </row>
    <row r="31" spans="1:4" x14ac:dyDescent="0.2">
      <c r="A31" s="75" t="s">
        <v>214</v>
      </c>
      <c r="B31" s="33" t="s">
        <v>239</v>
      </c>
      <c r="D31" s="33" t="s">
        <v>238</v>
      </c>
    </row>
    <row r="32" spans="1:4" ht="24" customHeight="1" x14ac:dyDescent="0.2">
      <c r="A32" s="45"/>
    </row>
    <row r="33" spans="1:4" ht="38.25" x14ac:dyDescent="0.2">
      <c r="A33" s="75" t="s">
        <v>216</v>
      </c>
      <c r="B33" s="9"/>
      <c r="D33" s="76" t="s">
        <v>826</v>
      </c>
    </row>
    <row r="34" spans="1:4" ht="29.25" customHeight="1" x14ac:dyDescent="0.2">
      <c r="B34" s="11" t="s">
        <v>239</v>
      </c>
      <c r="D34" s="74" t="s">
        <v>240</v>
      </c>
    </row>
    <row r="36" spans="1:4" x14ac:dyDescent="0.2">
      <c r="A36" s="50" t="s">
        <v>237</v>
      </c>
      <c r="B36" s="50"/>
      <c r="C36" s="50"/>
    </row>
  </sheetData>
  <mergeCells count="2">
    <mergeCell ref="A1:D1"/>
    <mergeCell ref="A2:D2"/>
  </mergeCells>
  <phoneticPr fontId="2" type="noConversion"/>
  <pageMargins left="0.78740157480314965" right="0.39370078740157483" top="0.98425196850393704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Раздел1</vt:lpstr>
      <vt:lpstr>Раздел2</vt:lpstr>
      <vt:lpstr>Раздел3</vt:lpstr>
      <vt:lpstr>Раздел4</vt:lpstr>
      <vt:lpstr>Раздел6</vt:lpstr>
      <vt:lpstr>Раздел7</vt:lpstr>
      <vt:lpstr>Раздел3!OLE_LINK9</vt:lpstr>
      <vt:lpstr>Раздел1!Область_печати</vt:lpstr>
      <vt:lpstr>Раздел6!Область_печати</vt:lpstr>
      <vt:lpstr>Раздел7!Область_печати</vt:lpstr>
    </vt:vector>
  </TitlesOfParts>
  <Company>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Павлова А.В.</cp:lastModifiedBy>
  <cp:lastPrinted>2020-04-21T06:04:33Z</cp:lastPrinted>
  <dcterms:created xsi:type="dcterms:W3CDTF">2005-08-11T06:54:18Z</dcterms:created>
  <dcterms:modified xsi:type="dcterms:W3CDTF">2020-04-29T04:49:57Z</dcterms:modified>
</cp:coreProperties>
</file>